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60" yWindow="1360" windowWidth="15480" windowHeight="10800" tabRatio="538" activeTab="0"/>
  </bookViews>
  <sheets>
    <sheet name="Data Center Energy Savings Calc" sheetId="1" r:id="rId1"/>
    <sheet name="Power Conversion Flowchart" sheetId="2" r:id="rId2"/>
    <sheet name="Efficiency Assump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Arshad Mansoor</author>
    <author>Peter Ostendorp</author>
  </authors>
  <commentList>
    <comment ref="A1" authorId="0">
      <text>
        <r>
          <rPr>
            <sz val="8"/>
            <rFont val="Tahoma"/>
            <family val="0"/>
          </rPr>
          <t>Work Funded by CEC PIER Program on Data Center Efficiency Administered by LBNL</t>
        </r>
      </text>
    </comment>
    <comment ref="A38" authorId="1">
      <text>
        <r>
          <rPr>
            <sz val="8"/>
            <rFont val="Tahoma"/>
            <family val="0"/>
          </rPr>
          <t># of UPSs that are loaded during normal operation, when there isn't an irregularity in utility power.  We assume that these UPSs share the total load equally.</t>
        </r>
      </text>
    </comment>
    <comment ref="A27" authorId="1">
      <text>
        <r>
          <rPr>
            <b/>
            <sz val="8"/>
            <rFont val="Tahoma"/>
            <family val="0"/>
          </rPr>
          <t>Peter Ostendorp:</t>
        </r>
        <r>
          <rPr>
            <sz val="8"/>
            <rFont val="Tahoma"/>
            <family val="0"/>
          </rPr>
          <t xml:space="preserve">
This number is changed by switching to a 2N or 2(N+1) power infrastructure in the UPS redundancy configuration.</t>
        </r>
      </text>
    </comment>
    <comment ref="A12" authorId="1">
      <text>
        <r>
          <rPr>
            <sz val="8"/>
            <rFont val="Tahoma"/>
            <family val="0"/>
          </rPr>
          <t>Used to determine net present value of savings.</t>
        </r>
      </text>
    </comment>
  </commentList>
</comments>
</file>

<file path=xl/comments3.xml><?xml version="1.0" encoding="utf-8"?>
<comments xmlns="http://schemas.openxmlformats.org/spreadsheetml/2006/main">
  <authors>
    <author>Peter Ostendorp</author>
  </authors>
  <commentList>
    <comment ref="A12" authorId="0">
      <text>
        <r>
          <rPr>
            <sz val="8"/>
            <rFont val="Tahoma"/>
            <family val="0"/>
          </rPr>
          <t>Based on 4th order polynomial best fit of flywheel data.</t>
        </r>
      </text>
    </comment>
    <comment ref="A9" authorId="0">
      <text>
        <r>
          <rPr>
            <sz val="8"/>
            <rFont val="Tahoma"/>
            <family val="0"/>
          </rPr>
          <t>Equivalent to average double conversion performance.</t>
        </r>
      </text>
    </comment>
    <comment ref="A31" authorId="0">
      <text>
        <r>
          <rPr>
            <sz val="8"/>
            <rFont val="Tahoma"/>
            <family val="0"/>
          </rPr>
          <t>Based on measured load duration curves for servers.</t>
        </r>
      </text>
    </comment>
    <comment ref="A4" authorId="0">
      <text>
        <r>
          <rPr>
            <sz val="8"/>
            <rFont val="Tahoma"/>
            <family val="0"/>
          </rPr>
          <t>Based on average values of measured power supplies.</t>
        </r>
      </text>
    </comment>
    <comment ref="A5" authorId="0">
      <text>
        <r>
          <rPr>
            <sz val="8"/>
            <rFont val="Tahoma"/>
            <family val="0"/>
          </rPr>
          <t>Based on 95th percentile values of measured power supplies.</t>
        </r>
      </text>
    </comment>
    <comment ref="A10" authorId="0">
      <text>
        <r>
          <rPr>
            <sz val="8"/>
            <rFont val="Tahoma"/>
            <family val="0"/>
          </rPr>
          <t>Best measured efficiency curve for double-conversion UPS.</t>
        </r>
      </text>
    </comment>
    <comment ref="A11" authorId="0">
      <text>
        <r>
          <rPr>
            <sz val="8"/>
            <rFont val="Tahoma"/>
            <family val="0"/>
          </rPr>
          <t>Measured efficiency for delta conversion line-interactive UPS.</t>
        </r>
      </text>
    </comment>
  </commentList>
</comments>
</file>

<file path=xl/sharedStrings.xml><?xml version="1.0" encoding="utf-8"?>
<sst xmlns="http://schemas.openxmlformats.org/spreadsheetml/2006/main" count="164" uniqueCount="88">
  <si>
    <t>Total Protected Power (kW)</t>
  </si>
  <si>
    <t>N</t>
  </si>
  <si>
    <t>Isolated Redundant</t>
  </si>
  <si>
    <t>N + 1</t>
  </si>
  <si>
    <t>2N</t>
  </si>
  <si>
    <t>2(N+1)</t>
  </si>
  <si>
    <t>Preferred high efficiency UPS</t>
  </si>
  <si>
    <t>UPS Load Sharing</t>
  </si>
  <si>
    <t>Power Supply Load Sharing</t>
  </si>
  <si>
    <t>Redundancy Configuration Load Sharing Assumptions</t>
  </si>
  <si>
    <t>Redundancy configuration of base case UPS</t>
  </si>
  <si>
    <t>Redundancy configuration of high efficiency UPS</t>
  </si>
  <si>
    <t># of loaded UPSs: base case</t>
  </si>
  <si>
    <t># of loaded UPSs: high efficiency case</t>
  </si>
  <si>
    <t>Do not evaluate UPS efficiency</t>
  </si>
  <si>
    <t>VRM Options</t>
  </si>
  <si>
    <t>Evaluate VRM efficiency?</t>
  </si>
  <si>
    <t>Yes</t>
  </si>
  <si>
    <t>No</t>
  </si>
  <si>
    <t>Evaluate PS efficiency?</t>
  </si>
  <si>
    <t>Menu Choice</t>
  </si>
  <si>
    <t>Power Budget for 1U Dual-Processor Server</t>
  </si>
  <si>
    <t>Data Center Options</t>
  </si>
  <si>
    <t>Duty cycle (% time spent at "typical" or "maximum" power levels</t>
  </si>
  <si>
    <t>Percent Loads</t>
  </si>
  <si>
    <t>Typical</t>
  </si>
  <si>
    <t>Annual Energy  Savings (MWh)</t>
  </si>
  <si>
    <t>Annual Energy Savings ($)</t>
  </si>
  <si>
    <t>Data Center Energy Savings Estimate</t>
  </si>
  <si>
    <t>Total Data Center Savings</t>
  </si>
  <si>
    <t>Total Savings per Rack</t>
  </si>
  <si>
    <t>User Options</t>
  </si>
  <si>
    <t>Adjust the options in the blue fields below to modify your energy savings scenario.</t>
  </si>
  <si>
    <t># of PS AC inputs (typical case)</t>
  </si>
  <si>
    <t># PS AC inputs (high efficiency case)</t>
  </si>
  <si>
    <r>
      <t xml:space="preserve">Calculating Energy Savings Using High Efficiency Power Conversion (UPS, AC-DC &amp; DC-DC Power Supply ) in Server and other IT Applications; </t>
    </r>
    <r>
      <rPr>
        <b/>
        <sz val="8"/>
        <rFont val="Arial"/>
        <family val="2"/>
      </rPr>
      <t>Rev 3.0 4/2005</t>
    </r>
  </si>
  <si>
    <t>High Efficiency Delta Conversion</t>
  </si>
  <si>
    <t>Calculations Based on Typical Power Budget for a Dual 2.4 GHz Xeon Processor based 1U Server Rack</t>
  </si>
  <si>
    <t>Typical Case</t>
  </si>
  <si>
    <t>High Efficiency Case</t>
  </si>
  <si>
    <t>Reduction in Power  Loss (Watt)</t>
  </si>
  <si>
    <t>Reduction in Air Conditioning Power (Watt)</t>
  </si>
  <si>
    <t>Total Savings (Watt)</t>
  </si>
  <si>
    <t>NPV of Savings ($)</t>
  </si>
  <si>
    <t>UPS</t>
  </si>
  <si>
    <t>AC/DC PS</t>
  </si>
  <si>
    <t>DC/DC VRM</t>
  </si>
  <si>
    <t>Savings/Server</t>
  </si>
  <si>
    <t>Number of 1U Servers Per Rack</t>
  </si>
  <si>
    <t>Typical (W)</t>
  </si>
  <si>
    <t>Maximum (W)</t>
  </si>
  <si>
    <t>Dual Processor Power (@1.75V DC)</t>
  </si>
  <si>
    <t>Mother Board, PCI Card, DDR Memory and Other Peripheral DC Power Consumption (@12V, 5V and 3.3V DC)</t>
  </si>
  <si>
    <t>Electricity Cost</t>
  </si>
  <si>
    <t>Life Time</t>
  </si>
  <si>
    <t>years</t>
  </si>
  <si>
    <t>Discount Rate</t>
  </si>
  <si>
    <t>percent</t>
  </si>
  <si>
    <t>Overall Cooling System Efficiency</t>
  </si>
  <si>
    <t>Watt/Ton (12000 BTU)</t>
  </si>
  <si>
    <t>Reduction in Power Loss</t>
  </si>
  <si>
    <t>UPS Options</t>
  </si>
  <si>
    <t>Number of racks in data center</t>
  </si>
  <si>
    <t>Power Supply Options</t>
  </si>
  <si>
    <t>watts</t>
  </si>
  <si>
    <t>$/kWh</t>
  </si>
  <si>
    <t>Server Power Supply Efficiency Profiles</t>
  </si>
  <si>
    <t>PS Nameplate Rating</t>
  </si>
  <si>
    <t>UPS nameplate rating
(active power)</t>
  </si>
  <si>
    <t>kW</t>
  </si>
  <si>
    <t>UPS Efficiency Profiles</t>
  </si>
  <si>
    <t>Min</t>
  </si>
  <si>
    <t>Max</t>
  </si>
  <si>
    <t>High Efficiency Double Conversion</t>
  </si>
  <si>
    <t>VRM Output Power (W)</t>
  </si>
  <si>
    <t>VRM Input Power (W)</t>
  </si>
  <si>
    <t>Total DC Power (W)</t>
  </si>
  <si>
    <t>PS Input AC Power (W)</t>
  </si>
  <si>
    <t>Rack AC Input (kW)</t>
  </si>
  <si>
    <t>UPS Input Power (kW)</t>
  </si>
  <si>
    <t>DC/DC VRM Efficiency</t>
  </si>
  <si>
    <t>-</t>
  </si>
  <si>
    <t>High Efficiency Flywheel</t>
  </si>
  <si>
    <t>kW facility-wide</t>
  </si>
  <si>
    <t>Power Budget:  Improved VRM, Power Supply, UPS</t>
  </si>
  <si>
    <t>Power Budget:  Improved UPS</t>
  </si>
  <si>
    <t>Power Budget:  Improved Power Supply</t>
  </si>
  <si>
    <t>Power Budget:  Improved Power Supply and UPS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</si>
</sst>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0.000%"/>
    <numFmt numFmtId="172" formatCode="0.0000%"/>
    <numFmt numFmtId="173" formatCode="0.000000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b/>
      <sz val="5"/>
      <color indexed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14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name val="Geneva"/>
      <family val="0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8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2" borderId="7" xfId="0" applyFont="1" applyFill="1" applyBorder="1" applyAlignment="1">
      <alignment/>
    </xf>
    <xf numFmtId="0" fontId="24" fillId="2" borderId="4" xfId="0" applyFont="1" applyFill="1" applyBorder="1" applyAlignment="1">
      <alignment/>
    </xf>
    <xf numFmtId="0" fontId="23" fillId="2" borderId="0" xfId="0" applyFont="1" applyFill="1" applyAlignment="1">
      <alignment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3" fillId="0" borderId="8" xfId="0" applyFont="1" applyBorder="1" applyAlignment="1">
      <alignment wrapText="1"/>
    </xf>
    <xf numFmtId="0" fontId="13" fillId="3" borderId="8" xfId="0" applyFont="1" applyFill="1" applyBorder="1" applyAlignment="1">
      <alignment/>
    </xf>
    <xf numFmtId="0" fontId="17" fillId="0" borderId="8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3" fillId="3" borderId="1" xfId="0" applyFont="1" applyFill="1" applyBorder="1" applyAlignment="1">
      <alignment/>
    </xf>
    <xf numFmtId="16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vertical="center"/>
    </xf>
    <xf numFmtId="0" fontId="1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19" fillId="4" borderId="4" xfId="0" applyFont="1" applyFill="1" applyBorder="1" applyAlignment="1">
      <alignment horizontal="center" vertical="center"/>
    </xf>
    <xf numFmtId="0" fontId="0" fillId="4" borderId="7" xfId="0" applyFill="1" applyBorder="1" applyAlignment="1">
      <alignment/>
    </xf>
    <xf numFmtId="0" fontId="18" fillId="4" borderId="4" xfId="0" applyFont="1" applyFill="1" applyBorder="1" applyAlignment="1">
      <alignment/>
    </xf>
    <xf numFmtId="0" fontId="13" fillId="0" borderId="4" xfId="0" applyFont="1" applyBorder="1" applyAlignment="1">
      <alignment/>
    </xf>
    <xf numFmtId="169" fontId="13" fillId="0" borderId="4" xfId="0" applyNumberFormat="1" applyFont="1" applyBorder="1" applyAlignment="1">
      <alignment/>
    </xf>
    <xf numFmtId="0" fontId="13" fillId="0" borderId="11" xfId="0" applyFont="1" applyBorder="1" applyAlignment="1">
      <alignment/>
    </xf>
    <xf numFmtId="169" fontId="13" fillId="0" borderId="1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17" fillId="2" borderId="8" xfId="0" applyFont="1" applyFill="1" applyBorder="1" applyAlignment="1">
      <alignment/>
    </xf>
    <xf numFmtId="0" fontId="17" fillId="0" borderId="12" xfId="0" applyFont="1" applyBorder="1" applyAlignment="1">
      <alignment wrapText="1"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9" fontId="13" fillId="2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169" fontId="13" fillId="2" borderId="4" xfId="0" applyNumberFormat="1" applyFont="1" applyFill="1" applyBorder="1" applyAlignment="1">
      <alignment/>
    </xf>
    <xf numFmtId="0" fontId="26" fillId="0" borderId="4" xfId="0" applyFont="1" applyBorder="1" applyAlignment="1">
      <alignment/>
    </xf>
    <xf numFmtId="0" fontId="26" fillId="0" borderId="7" xfId="0" applyFont="1" applyBorder="1" applyAlignment="1">
      <alignment/>
    </xf>
    <xf numFmtId="0" fontId="26" fillId="2" borderId="4" xfId="0" applyFont="1" applyFill="1" applyBorder="1" applyAlignment="1">
      <alignment/>
    </xf>
    <xf numFmtId="0" fontId="26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9" fontId="0" fillId="2" borderId="1" xfId="0" applyNumberForma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169" fontId="13" fillId="2" borderId="1" xfId="0" applyNumberFormat="1" applyFont="1" applyFill="1" applyBorder="1" applyAlignment="1">
      <alignment horizontal="center"/>
    </xf>
    <xf numFmtId="169" fontId="13" fillId="0" borderId="13" xfId="0" applyNumberFormat="1" applyFont="1" applyBorder="1" applyAlignment="1">
      <alignment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 wrapText="1"/>
    </xf>
    <xf numFmtId="0" fontId="11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13" fillId="2" borderId="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4" xfId="0" applyFont="1" applyFill="1" applyBorder="1" applyAlignment="1">
      <alignment wrapText="1"/>
    </xf>
    <xf numFmtId="0" fontId="0" fillId="0" borderId="7" xfId="0" applyBorder="1" applyAlignment="1">
      <alignment/>
    </xf>
    <xf numFmtId="0" fontId="28" fillId="2" borderId="0" xfId="0" applyFont="1" applyFill="1" applyBorder="1" applyAlignment="1">
      <alignment/>
    </xf>
    <xf numFmtId="9" fontId="0" fillId="2" borderId="8" xfId="0" applyNumberForma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9" fontId="13" fillId="2" borderId="1" xfId="19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0" fontId="17" fillId="2" borderId="1" xfId="0" applyFont="1" applyFill="1" applyBorder="1" applyAlignment="1">
      <alignment/>
    </xf>
    <xf numFmtId="0" fontId="17" fillId="0" borderId="3" xfId="0" applyFont="1" applyBorder="1" applyAlignment="1">
      <alignment wrapText="1"/>
    </xf>
    <xf numFmtId="0" fontId="26" fillId="0" borderId="13" xfId="0" applyFont="1" applyBorder="1" applyAlignment="1">
      <alignment/>
    </xf>
    <xf numFmtId="9" fontId="13" fillId="0" borderId="11" xfId="19" applyFont="1" applyBorder="1" applyAlignment="1">
      <alignment/>
    </xf>
    <xf numFmtId="9" fontId="13" fillId="0" borderId="13" xfId="19" applyFont="1" applyBorder="1" applyAlignment="1">
      <alignment/>
    </xf>
    <xf numFmtId="9" fontId="13" fillId="0" borderId="7" xfId="19" applyFont="1" applyBorder="1" applyAlignment="1">
      <alignment/>
    </xf>
    <xf numFmtId="9" fontId="13" fillId="0" borderId="1" xfId="19" applyFont="1" applyBorder="1" applyAlignment="1">
      <alignment/>
    </xf>
    <xf numFmtId="9" fontId="13" fillId="0" borderId="4" xfId="19" applyFont="1" applyBorder="1" applyAlignment="1">
      <alignment/>
    </xf>
    <xf numFmtId="0" fontId="11" fillId="2" borderId="13" xfId="0" applyFont="1" applyFill="1" applyBorder="1" applyAlignment="1">
      <alignment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6" fontId="13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6" fontId="13" fillId="0" borderId="19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right" vertical="center" wrapText="1"/>
    </xf>
    <xf numFmtId="0" fontId="0" fillId="2" borderId="21" xfId="0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/>
    </xf>
    <xf numFmtId="6" fontId="13" fillId="0" borderId="16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9" fontId="19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/>
    </xf>
    <xf numFmtId="0" fontId="13" fillId="4" borderId="1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9" fillId="4" borderId="4" xfId="0" applyFont="1" applyFill="1" applyBorder="1" applyAlignment="1">
      <alignment/>
    </xf>
    <xf numFmtId="1" fontId="13" fillId="5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" fontId="13" fillId="5" borderId="26" xfId="0" applyNumberFormat="1" applyFont="1" applyFill="1" applyBorder="1" applyAlignment="1">
      <alignment horizontal="center" vertical="center"/>
    </xf>
    <xf numFmtId="2" fontId="13" fillId="5" borderId="26" xfId="0" applyNumberFormat="1" applyFont="1" applyFill="1" applyBorder="1" applyAlignment="1">
      <alignment horizontal="center" vertical="center"/>
    </xf>
    <xf numFmtId="164" fontId="11" fillId="5" borderId="26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170" fontId="0" fillId="2" borderId="8" xfId="0" applyNumberFormat="1" applyFont="1" applyFill="1" applyBorder="1" applyAlignment="1">
      <alignment horizontal="center"/>
    </xf>
    <xf numFmtId="9" fontId="0" fillId="2" borderId="8" xfId="0" applyNumberFormat="1" applyFont="1" applyFill="1" applyBorder="1" applyAlignment="1">
      <alignment horizontal="center"/>
    </xf>
    <xf numFmtId="9" fontId="2" fillId="2" borderId="14" xfId="0" applyNumberFormat="1" applyFont="1" applyFill="1" applyBorder="1" applyAlignment="1">
      <alignment horizontal="center"/>
    </xf>
    <xf numFmtId="9" fontId="0" fillId="2" borderId="14" xfId="0" applyNumberFormat="1" applyFill="1" applyBorder="1" applyAlignment="1">
      <alignment horizontal="center"/>
    </xf>
    <xf numFmtId="170" fontId="0" fillId="2" borderId="8" xfId="19" applyNumberFormat="1" applyFill="1" applyBorder="1" applyAlignment="1">
      <alignment horizontal="center"/>
    </xf>
    <xf numFmtId="170" fontId="0" fillId="2" borderId="1" xfId="19" applyNumberFormat="1" applyFill="1" applyBorder="1" applyAlignment="1">
      <alignment horizontal="center"/>
    </xf>
    <xf numFmtId="9" fontId="2" fillId="2" borderId="14" xfId="19" applyFont="1" applyFill="1" applyBorder="1" applyAlignment="1">
      <alignment horizontal="center"/>
    </xf>
    <xf numFmtId="9" fontId="0" fillId="2" borderId="8" xfId="19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6" fontId="11" fillId="5" borderId="16" xfId="0" applyNumberFormat="1" applyFont="1" applyFill="1" applyBorder="1" applyAlignment="1">
      <alignment horizontal="center" vertical="center"/>
    </xf>
    <xf numFmtId="6" fontId="11" fillId="5" borderId="2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/>
    </xf>
    <xf numFmtId="169" fontId="13" fillId="2" borderId="0" xfId="0" applyNumberFormat="1" applyFont="1" applyFill="1" applyBorder="1" applyAlignment="1">
      <alignment/>
    </xf>
    <xf numFmtId="0" fontId="0" fillId="2" borderId="0" xfId="0" applyFill="1" applyAlignment="1">
      <alignment wrapText="1"/>
    </xf>
    <xf numFmtId="169" fontId="0" fillId="2" borderId="0" xfId="0" applyNumberFormat="1" applyFill="1" applyAlignment="1">
      <alignment/>
    </xf>
    <xf numFmtId="0" fontId="13" fillId="2" borderId="8" xfId="0" applyFont="1" applyFill="1" applyBorder="1" applyAlignment="1">
      <alignment wrapText="1"/>
    </xf>
    <xf numFmtId="0" fontId="13" fillId="2" borderId="8" xfId="0" applyFont="1" applyFill="1" applyBorder="1" applyAlignment="1">
      <alignment/>
    </xf>
    <xf numFmtId="0" fontId="17" fillId="2" borderId="8" xfId="0" applyFont="1" applyFill="1" applyBorder="1" applyAlignment="1">
      <alignment wrapText="1"/>
    </xf>
    <xf numFmtId="0" fontId="17" fillId="2" borderId="1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169" fontId="13" fillId="2" borderId="11" xfId="0" applyNumberFormat="1" applyFont="1" applyFill="1" applyBorder="1" applyAlignment="1">
      <alignment horizontal="center"/>
    </xf>
    <xf numFmtId="169" fontId="13" fillId="2" borderId="10" xfId="0" applyNumberFormat="1" applyFont="1" applyFill="1" applyBorder="1" applyAlignment="1">
      <alignment/>
    </xf>
    <xf numFmtId="169" fontId="13" fillId="2" borderId="13" xfId="0" applyNumberFormat="1" applyFont="1" applyFill="1" applyBorder="1" applyAlignment="1">
      <alignment/>
    </xf>
    <xf numFmtId="169" fontId="13" fillId="2" borderId="11" xfId="0" applyNumberFormat="1" applyFont="1" applyFill="1" applyBorder="1" applyAlignment="1">
      <alignment/>
    </xf>
    <xf numFmtId="169" fontId="13" fillId="2" borderId="13" xfId="0" applyNumberFormat="1" applyFont="1" applyFill="1" applyBorder="1" applyAlignment="1">
      <alignment horizontal="center"/>
    </xf>
    <xf numFmtId="169" fontId="28" fillId="2" borderId="4" xfId="0" applyNumberFormat="1" applyFont="1" applyFill="1" applyBorder="1" applyAlignment="1">
      <alignment/>
    </xf>
    <xf numFmtId="0" fontId="28" fillId="2" borderId="6" xfId="0" applyFont="1" applyFill="1" applyBorder="1" applyAlignment="1">
      <alignment/>
    </xf>
    <xf numFmtId="0" fontId="28" fillId="2" borderId="7" xfId="0" applyFont="1" applyFill="1" applyBorder="1" applyAlignment="1">
      <alignment/>
    </xf>
    <xf numFmtId="0" fontId="13" fillId="2" borderId="29" xfId="0" applyFont="1" applyFill="1" applyBorder="1" applyAlignment="1">
      <alignment vertical="center" wrapText="1"/>
    </xf>
    <xf numFmtId="0" fontId="0" fillId="2" borderId="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0" xfId="0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23" fillId="2" borderId="9" xfId="0" applyFont="1" applyFill="1" applyBorder="1" applyAlignment="1">
      <alignment/>
    </xf>
    <xf numFmtId="0" fontId="13" fillId="2" borderId="31" xfId="0" applyFont="1" applyFill="1" applyBorder="1" applyAlignment="1">
      <alignment horizontal="right" vertical="center" wrapText="1"/>
    </xf>
    <xf numFmtId="0" fontId="0" fillId="2" borderId="32" xfId="0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6" borderId="3" xfId="0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133350</xdr:rowOff>
    </xdr:from>
    <xdr:to>
      <xdr:col>10</xdr:col>
      <xdr:colOff>495300</xdr:colOff>
      <xdr:row>13</xdr:row>
      <xdr:rowOff>9525</xdr:rowOff>
    </xdr:to>
    <xdr:sp>
      <xdr:nvSpPr>
        <xdr:cNvPr id="1" name="TextBox 44"/>
        <xdr:cNvSpPr txBox="1">
          <a:spLocks noChangeArrowheads="1"/>
        </xdr:cNvSpPr>
      </xdr:nvSpPr>
      <xdr:spPr>
        <a:xfrm>
          <a:off x="3238500" y="3495675"/>
          <a:ext cx="4305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Verdana"/>
              <a:ea typeface="Verdana"/>
              <a:cs typeface="Verdana"/>
            </a:rPr>
            <a:t>Note:  analysis only takes energy costs and savings into account.  HVAC energy savings and other secondary effects are currently ignored.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20</xdr:row>
      <xdr:rowOff>85725</xdr:rowOff>
    </xdr:from>
    <xdr:to>
      <xdr:col>7</xdr:col>
      <xdr:colOff>485775</xdr:colOff>
      <xdr:row>22</xdr:row>
      <xdr:rowOff>47625</xdr:rowOff>
    </xdr:to>
    <xdr:pic>
      <xdr:nvPicPr>
        <xdr:cNvPr id="1" name="Picture 30" descr="i_ec35ps307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3242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17</xdr:row>
      <xdr:rowOff>38100</xdr:rowOff>
    </xdr:from>
    <xdr:to>
      <xdr:col>1</xdr:col>
      <xdr:colOff>323850</xdr:colOff>
      <xdr:row>20</xdr:row>
      <xdr:rowOff>95250</xdr:rowOff>
    </xdr:to>
    <xdr:sp>
      <xdr:nvSpPr>
        <xdr:cNvPr id="2" name="AutoShape 1"/>
        <xdr:cNvSpPr>
          <a:spLocks/>
        </xdr:cNvSpPr>
      </xdr:nvSpPr>
      <xdr:spPr>
        <a:xfrm>
          <a:off x="171450" y="2790825"/>
          <a:ext cx="819150" cy="542925"/>
        </a:xfrm>
        <a:prstGeom prst="rightArrow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120V AC</a:t>
          </a:r>
          <a:r>
            <a:rPr lang="en-US" cap="none" sz="8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</xdr:col>
      <xdr:colOff>323850</xdr:colOff>
      <xdr:row>16</xdr:row>
      <xdr:rowOff>66675</xdr:rowOff>
    </xdr:from>
    <xdr:to>
      <xdr:col>3</xdr:col>
      <xdr:colOff>247650</xdr:colOff>
      <xdr:row>21</xdr:row>
      <xdr:rowOff>133350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2"/>
        <a:srcRect l="4359" t="3410" r="5169" b="2239"/>
        <a:stretch>
          <a:fillRect/>
        </a:stretch>
      </xdr:blipFill>
      <xdr:spPr>
        <a:xfrm>
          <a:off x="990600" y="2657475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12</xdr:row>
      <xdr:rowOff>152400</xdr:rowOff>
    </xdr:from>
    <xdr:to>
      <xdr:col>6</xdr:col>
      <xdr:colOff>142875</xdr:colOff>
      <xdr:row>21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2095500"/>
          <a:ext cx="1047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17</xdr:row>
      <xdr:rowOff>76200</xdr:rowOff>
    </xdr:from>
    <xdr:to>
      <xdr:col>4</xdr:col>
      <xdr:colOff>390525</xdr:colOff>
      <xdr:row>20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2247900" y="2828925"/>
          <a:ext cx="809625" cy="542925"/>
        </a:xfrm>
        <a:prstGeom prst="rightArrow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120V AC</a:t>
          </a:r>
          <a:r>
            <a:rPr lang="en-US" cap="none" sz="8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6</xdr:col>
      <xdr:colOff>76200</xdr:colOff>
      <xdr:row>14</xdr:row>
      <xdr:rowOff>38100</xdr:rowOff>
    </xdr:from>
    <xdr:to>
      <xdr:col>6</xdr:col>
      <xdr:colOff>485775</xdr:colOff>
      <xdr:row>14</xdr:row>
      <xdr:rowOff>38100</xdr:rowOff>
    </xdr:to>
    <xdr:sp>
      <xdr:nvSpPr>
        <xdr:cNvPr id="6" name="Line 8"/>
        <xdr:cNvSpPr>
          <a:spLocks/>
        </xdr:cNvSpPr>
      </xdr:nvSpPr>
      <xdr:spPr>
        <a:xfrm>
          <a:off x="4076700" y="2305050"/>
          <a:ext cx="4000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495300</xdr:colOff>
      <xdr:row>6</xdr:row>
      <xdr:rowOff>85725</xdr:rowOff>
    </xdr:from>
    <xdr:to>
      <xdr:col>6</xdr:col>
      <xdr:colOff>495300</xdr:colOff>
      <xdr:row>21</xdr:row>
      <xdr:rowOff>66675</xdr:rowOff>
    </xdr:to>
    <xdr:sp>
      <xdr:nvSpPr>
        <xdr:cNvPr id="7" name="Line 9"/>
        <xdr:cNvSpPr>
          <a:spLocks/>
        </xdr:cNvSpPr>
      </xdr:nvSpPr>
      <xdr:spPr>
        <a:xfrm flipH="1">
          <a:off x="4495800" y="1057275"/>
          <a:ext cx="0" cy="24098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66675</xdr:rowOff>
    </xdr:from>
    <xdr:to>
      <xdr:col>7</xdr:col>
      <xdr:colOff>200025</xdr:colOff>
      <xdr:row>21</xdr:row>
      <xdr:rowOff>66675</xdr:rowOff>
    </xdr:to>
    <xdr:sp>
      <xdr:nvSpPr>
        <xdr:cNvPr id="8" name="Line 10"/>
        <xdr:cNvSpPr>
          <a:spLocks/>
        </xdr:cNvSpPr>
      </xdr:nvSpPr>
      <xdr:spPr>
        <a:xfrm>
          <a:off x="4505325" y="3467100"/>
          <a:ext cx="3619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504825</xdr:colOff>
      <xdr:row>21</xdr:row>
      <xdr:rowOff>38100</xdr:rowOff>
    </xdr:from>
    <xdr:to>
      <xdr:col>8</xdr:col>
      <xdr:colOff>228600</xdr:colOff>
      <xdr:row>21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172075" y="3438525"/>
          <a:ext cx="3905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276225</xdr:colOff>
      <xdr:row>13</xdr:row>
      <xdr:rowOff>0</xdr:rowOff>
    </xdr:from>
    <xdr:to>
      <xdr:col>9</xdr:col>
      <xdr:colOff>400050</xdr:colOff>
      <xdr:row>16</xdr:row>
      <xdr:rowOff>66675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5610225" y="2105025"/>
          <a:ext cx="790575" cy="552450"/>
        </a:xfrm>
        <a:prstGeom prst="rect">
          <a:avLst/>
        </a:prstGeom>
        <a:solidFill>
          <a:srgbClr val="1FB7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Floppy Drive 0.5A
CDROM Drive 0.8A
Hard Drives, IDE, 4X 2.4A
Blowers, 4X 6.6A</a:t>
          </a:r>
        </a:p>
      </xdr:txBody>
    </xdr:sp>
    <xdr:clientData/>
  </xdr:twoCellAnchor>
  <xdr:twoCellAnchor>
    <xdr:from>
      <xdr:col>6</xdr:col>
      <xdr:colOff>514350</xdr:colOff>
      <xdr:row>14</xdr:row>
      <xdr:rowOff>47625</xdr:rowOff>
    </xdr:from>
    <xdr:to>
      <xdr:col>8</xdr:col>
      <xdr:colOff>266700</xdr:colOff>
      <xdr:row>14</xdr:row>
      <xdr:rowOff>47625</xdr:rowOff>
    </xdr:to>
    <xdr:sp>
      <xdr:nvSpPr>
        <xdr:cNvPr id="11" name="Line 15"/>
        <xdr:cNvSpPr>
          <a:spLocks/>
        </xdr:cNvSpPr>
      </xdr:nvSpPr>
      <xdr:spPr>
        <a:xfrm flipV="1">
          <a:off x="4514850" y="2314575"/>
          <a:ext cx="10858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276225</xdr:colOff>
      <xdr:row>8</xdr:row>
      <xdr:rowOff>28575</xdr:rowOff>
    </xdr:from>
    <xdr:to>
      <xdr:col>9</xdr:col>
      <xdr:colOff>400050</xdr:colOff>
      <xdr:row>12</xdr:row>
      <xdr:rowOff>76200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5610225" y="1323975"/>
          <a:ext cx="790575" cy="695325"/>
        </a:xfrm>
        <a:prstGeom prst="rect">
          <a:avLst/>
        </a:prstGeom>
        <a:solidFill>
          <a:srgbClr val="1FB7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Mother Board 8.0A
PCI Card 5A
Hard Drives, IDE, 4X 1.2A
Blowers, 4X 6.6A
Keyboard &amp; Mouse 0.5A
Floppy Drive 0.2A
CD ROM Drive 0.2A</a:t>
          </a:r>
        </a:p>
      </xdr:txBody>
    </xdr:sp>
    <xdr:clientData/>
  </xdr:twoCellAnchor>
  <xdr:twoCellAnchor>
    <xdr:from>
      <xdr:col>6</xdr:col>
      <xdr:colOff>495300</xdr:colOff>
      <xdr:row>10</xdr:row>
      <xdr:rowOff>47625</xdr:rowOff>
    </xdr:from>
    <xdr:to>
      <xdr:col>8</xdr:col>
      <xdr:colOff>266700</xdr:colOff>
      <xdr:row>10</xdr:row>
      <xdr:rowOff>47625</xdr:rowOff>
    </xdr:to>
    <xdr:sp>
      <xdr:nvSpPr>
        <xdr:cNvPr id="13" name="Line 18"/>
        <xdr:cNvSpPr>
          <a:spLocks/>
        </xdr:cNvSpPr>
      </xdr:nvSpPr>
      <xdr:spPr>
        <a:xfrm flipV="1">
          <a:off x="4495800" y="1666875"/>
          <a:ext cx="11049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266700</xdr:colOff>
      <xdr:row>5</xdr:row>
      <xdr:rowOff>152400</xdr:rowOff>
    </xdr:from>
    <xdr:to>
      <xdr:col>9</xdr:col>
      <xdr:colOff>400050</xdr:colOff>
      <xdr:row>7</xdr:row>
      <xdr:rowOff>76200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5600700" y="962025"/>
          <a:ext cx="800100" cy="247650"/>
        </a:xfrm>
        <a:prstGeom prst="rect">
          <a:avLst/>
        </a:prstGeom>
        <a:solidFill>
          <a:srgbClr val="1FB7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Mother Board 1.5A
DDR Memory 8.5A
</a:t>
          </a:r>
        </a:p>
      </xdr:txBody>
    </xdr:sp>
    <xdr:clientData/>
  </xdr:twoCellAnchor>
  <xdr:twoCellAnchor>
    <xdr:from>
      <xdr:col>6</xdr:col>
      <xdr:colOff>495300</xdr:colOff>
      <xdr:row>6</xdr:row>
      <xdr:rowOff>95250</xdr:rowOff>
    </xdr:from>
    <xdr:to>
      <xdr:col>8</xdr:col>
      <xdr:colOff>266700</xdr:colOff>
      <xdr:row>6</xdr:row>
      <xdr:rowOff>95250</xdr:rowOff>
    </xdr:to>
    <xdr:sp>
      <xdr:nvSpPr>
        <xdr:cNvPr id="15" name="Line 21"/>
        <xdr:cNvSpPr>
          <a:spLocks/>
        </xdr:cNvSpPr>
      </xdr:nvSpPr>
      <xdr:spPr>
        <a:xfrm>
          <a:off x="4495800" y="1066800"/>
          <a:ext cx="11049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266700</xdr:colOff>
      <xdr:row>20</xdr:row>
      <xdr:rowOff>95250</xdr:rowOff>
    </xdr:from>
    <xdr:to>
      <xdr:col>9</xdr:col>
      <xdr:colOff>390525</xdr:colOff>
      <xdr:row>22</xdr:row>
      <xdr:rowOff>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5600700" y="3333750"/>
          <a:ext cx="790575" cy="228600"/>
        </a:xfrm>
        <a:prstGeom prst="rect">
          <a:avLst/>
        </a:prstGeom>
        <a:solidFill>
          <a:srgbClr val="1FB7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Xeon 2.4HHz, 2X 14A@12V
</a:t>
          </a:r>
        </a:p>
      </xdr:txBody>
    </xdr:sp>
    <xdr:clientData/>
  </xdr:twoCellAnchor>
  <xdr:twoCellAnchor>
    <xdr:from>
      <xdr:col>9</xdr:col>
      <xdr:colOff>457200</xdr:colOff>
      <xdr:row>5</xdr:row>
      <xdr:rowOff>28575</xdr:rowOff>
    </xdr:from>
    <xdr:to>
      <xdr:col>11</xdr:col>
      <xdr:colOff>495300</xdr:colOff>
      <xdr:row>26</xdr:row>
      <xdr:rowOff>28575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838200"/>
          <a:ext cx="13716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</xdr:row>
      <xdr:rowOff>38100</xdr:rowOff>
    </xdr:from>
    <xdr:to>
      <xdr:col>9</xdr:col>
      <xdr:colOff>457200</xdr:colOff>
      <xdr:row>3</xdr:row>
      <xdr:rowOff>133350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1514475" y="361950"/>
          <a:ext cx="4943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Verdana"/>
              <a:ea typeface="Verdana"/>
              <a:cs typeface="Verdana"/>
            </a:rPr>
            <a:t>Power Conversion Flowchart for a Typical Data Center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6">
      <selection activeCell="A38" sqref="A38"/>
    </sheetView>
  </sheetViews>
  <sheetFormatPr defaultColWidth="11.00390625" defaultRowHeight="12.75"/>
  <cols>
    <col min="1" max="1" width="18.625" style="8" customWidth="1"/>
    <col min="2" max="2" width="7.625" style="8" customWidth="1"/>
    <col min="3" max="3" width="8.75390625" style="8" customWidth="1"/>
    <col min="4" max="4" width="7.125" style="8" customWidth="1"/>
    <col min="5" max="5" width="8.125" style="8" customWidth="1"/>
    <col min="6" max="6" width="9.625" style="8" customWidth="1"/>
    <col min="7" max="7" width="8.25390625" style="8" customWidth="1"/>
    <col min="8" max="9" width="7.625" style="8" customWidth="1"/>
    <col min="10" max="10" width="9.125" style="8" customWidth="1"/>
    <col min="11" max="11" width="7.125" style="8" customWidth="1"/>
    <col min="12" max="13" width="7.625" style="8" customWidth="1"/>
    <col min="14" max="14" width="5.125" style="8" customWidth="1"/>
    <col min="15" max="15" width="5.875" style="8" customWidth="1"/>
    <col min="16" max="16384" width="7.625" style="8" customWidth="1"/>
  </cols>
  <sheetData>
    <row r="1" spans="1:12" ht="30" customHeight="1">
      <c r="A1" s="188" t="s">
        <v>35</v>
      </c>
      <c r="B1" s="189"/>
      <c r="C1" s="189"/>
      <c r="D1" s="189"/>
      <c r="E1" s="189"/>
      <c r="F1" s="189"/>
      <c r="G1" s="189"/>
      <c r="H1" s="189"/>
      <c r="I1" s="189"/>
      <c r="J1" s="190"/>
      <c r="K1" s="14"/>
      <c r="L1" s="14"/>
    </row>
    <row r="2" spans="1:10" ht="12.75" customHeight="1">
      <c r="A2" s="191" t="s">
        <v>37</v>
      </c>
      <c r="B2" s="192"/>
      <c r="C2" s="192"/>
      <c r="D2" s="192"/>
      <c r="E2" s="192"/>
      <c r="F2" s="192"/>
      <c r="G2" s="192"/>
      <c r="H2" s="192"/>
      <c r="I2" s="192"/>
      <c r="J2" s="193"/>
    </row>
    <row r="3" spans="4:8" ht="37.5" customHeight="1">
      <c r="D3" s="5"/>
      <c r="E3" s="124"/>
      <c r="F3" s="125"/>
      <c r="G3" s="125"/>
      <c r="H3" s="125"/>
    </row>
    <row r="4" spans="1:8" ht="24.75" customHeight="1" thickBot="1">
      <c r="A4" s="194" t="s">
        <v>31</v>
      </c>
      <c r="B4" s="195"/>
      <c r="C4" s="196"/>
      <c r="D4" s="5"/>
      <c r="E4" s="126"/>
      <c r="H4" s="127" t="s">
        <v>28</v>
      </c>
    </row>
    <row r="5" spans="1:11" s="15" customFormat="1" ht="62.25" customHeight="1" thickBot="1">
      <c r="A5" s="187" t="s">
        <v>32</v>
      </c>
      <c r="B5" s="187"/>
      <c r="C5" s="187"/>
      <c r="D5" s="177"/>
      <c r="E5" s="113"/>
      <c r="F5" s="114" t="s">
        <v>40</v>
      </c>
      <c r="G5" s="114" t="s">
        <v>41</v>
      </c>
      <c r="H5" s="114" t="s">
        <v>42</v>
      </c>
      <c r="I5" s="114" t="s">
        <v>26</v>
      </c>
      <c r="J5" s="114" t="s">
        <v>27</v>
      </c>
      <c r="K5" s="115" t="s">
        <v>43</v>
      </c>
    </row>
    <row r="6" spans="1:11" s="15" customFormat="1" ht="13.5" thickTop="1">
      <c r="A6" s="8"/>
      <c r="B6" s="18"/>
      <c r="C6" s="19"/>
      <c r="D6" s="6"/>
      <c r="E6" s="103" t="s">
        <v>44</v>
      </c>
      <c r="F6" s="104">
        <f>G50*1000</f>
        <v>11546.583602136408</v>
      </c>
      <c r="G6" s="104">
        <f>(3.412*F6/12000)*$B$13</f>
        <v>3939.694325048942</v>
      </c>
      <c r="H6" s="105">
        <f>SUM(F6+G6)</f>
        <v>15486.27792718535</v>
      </c>
      <c r="I6" s="106">
        <f>H6*8760/1000000</f>
        <v>135.65979464214368</v>
      </c>
      <c r="J6" s="107">
        <f>I6*$B$10*1000</f>
        <v>13565.979464214368</v>
      </c>
      <c r="K6" s="108">
        <f>-PV($B$12,$B$11,J6)</f>
        <v>47007.55158321754</v>
      </c>
    </row>
    <row r="7" spans="1:12" s="9" customFormat="1" ht="12.75">
      <c r="A7" s="8"/>
      <c r="B7" s="39" t="s">
        <v>22</v>
      </c>
      <c r="C7" s="40"/>
      <c r="D7" s="7"/>
      <c r="E7" s="102" t="s">
        <v>45</v>
      </c>
      <c r="F7" s="97">
        <f>G47*B9*B8</f>
        <v>0</v>
      </c>
      <c r="G7" s="97">
        <f>(3.412*F7/12000)*$B$13</f>
        <v>0</v>
      </c>
      <c r="H7" s="98">
        <f>SUM(F7+G7)</f>
        <v>0</v>
      </c>
      <c r="I7" s="99">
        <f>H7*8760/1000000</f>
        <v>0</v>
      </c>
      <c r="J7" s="100">
        <f>I7*$B$10*1000</f>
        <v>0</v>
      </c>
      <c r="K7" s="101">
        <f>-PV($B$12,$B$11,J7)</f>
        <v>0</v>
      </c>
      <c r="L7" s="16"/>
    </row>
    <row r="8" spans="1:12" s="9" customFormat="1" ht="22.5">
      <c r="A8" s="4" t="s">
        <v>62</v>
      </c>
      <c r="B8" s="41">
        <v>10</v>
      </c>
      <c r="C8" s="42"/>
      <c r="D8" s="7"/>
      <c r="E8" s="102" t="s">
        <v>46</v>
      </c>
      <c r="F8" s="97">
        <f>G45*B9*B8</f>
        <v>0</v>
      </c>
      <c r="G8" s="97">
        <f>(3.412*F8/12000)*$B$13</f>
        <v>0</v>
      </c>
      <c r="H8" s="98">
        <f>SUM(F8+G8)</f>
        <v>0</v>
      </c>
      <c r="I8" s="99">
        <f>H8*8760/1000000</f>
        <v>0</v>
      </c>
      <c r="J8" s="100">
        <f>I8*$B$10*1000</f>
        <v>0</v>
      </c>
      <c r="K8" s="117">
        <f>-PV($B$12,$B$11,J8)</f>
        <v>0</v>
      </c>
      <c r="L8" s="17"/>
    </row>
    <row r="9" spans="1:12" s="9" customFormat="1" ht="22.5">
      <c r="A9" s="4" t="s">
        <v>48</v>
      </c>
      <c r="B9" s="41">
        <v>40</v>
      </c>
      <c r="C9" s="42"/>
      <c r="D9" s="7"/>
      <c r="E9" s="116"/>
      <c r="F9" s="110"/>
      <c r="G9" s="112" t="s">
        <v>29</v>
      </c>
      <c r="H9" s="129">
        <f>SUM(H6:H8)</f>
        <v>15486.27792718535</v>
      </c>
      <c r="I9" s="130">
        <f>H9*8760/1000000</f>
        <v>135.65979464214368</v>
      </c>
      <c r="J9" s="131">
        <f>I9*$B$10*1000</f>
        <v>13565.979464214368</v>
      </c>
      <c r="K9" s="146">
        <f>-PV($B$12,$B$11,J9)</f>
        <v>47007.55158321754</v>
      </c>
      <c r="L9" s="17"/>
    </row>
    <row r="10" spans="1:11" ht="12.75" customHeight="1">
      <c r="A10" s="3" t="s">
        <v>53</v>
      </c>
      <c r="B10" s="118">
        <v>0.1</v>
      </c>
      <c r="C10" s="38" t="s">
        <v>65</v>
      </c>
      <c r="E10" s="109"/>
      <c r="F10" s="110"/>
      <c r="G10" s="111" t="s">
        <v>30</v>
      </c>
      <c r="H10" s="129">
        <f>H9/$B$8</f>
        <v>1548.6277927185351</v>
      </c>
      <c r="I10" s="130">
        <f>I9/$B$8</f>
        <v>13.565979464214369</v>
      </c>
      <c r="J10" s="131">
        <f>J9/$B$8</f>
        <v>1356.5979464214367</v>
      </c>
      <c r="K10" s="146">
        <f>K9/$B$8</f>
        <v>4700.755158321754</v>
      </c>
    </row>
    <row r="11" spans="1:11" ht="13.5" thickBot="1">
      <c r="A11" s="4" t="s">
        <v>54</v>
      </c>
      <c r="B11" s="119">
        <v>4</v>
      </c>
      <c r="C11" s="38" t="s">
        <v>55</v>
      </c>
      <c r="E11" s="184" t="s">
        <v>47</v>
      </c>
      <c r="F11" s="185"/>
      <c r="G11" s="186"/>
      <c r="H11" s="132">
        <f>H9/$B$9/$B$8</f>
        <v>38.71569481796338</v>
      </c>
      <c r="I11" s="133">
        <f>I9/$B$9/$B$8</f>
        <v>0.3391494866053592</v>
      </c>
      <c r="J11" s="134">
        <f>J9/$B$9/B8</f>
        <v>33.91494866053592</v>
      </c>
      <c r="K11" s="147">
        <f>K9/$B$9/$B$8</f>
        <v>117.51887895804384</v>
      </c>
    </row>
    <row r="12" spans="1:5" ht="12.75">
      <c r="A12" s="2" t="s">
        <v>56</v>
      </c>
      <c r="B12" s="120">
        <v>0.06</v>
      </c>
      <c r="C12" s="38" t="s">
        <v>57</v>
      </c>
      <c r="E12" s="126"/>
    </row>
    <row r="13" spans="1:3" ht="33.75">
      <c r="A13" s="4" t="s">
        <v>58</v>
      </c>
      <c r="B13" s="119">
        <v>1200</v>
      </c>
      <c r="C13" s="1" t="s">
        <v>59</v>
      </c>
    </row>
    <row r="14" ht="21" customHeight="1">
      <c r="D14" s="178"/>
    </row>
    <row r="15" spans="4:6" ht="12.75">
      <c r="D15" s="178"/>
      <c r="F15" s="10"/>
    </row>
    <row r="16" spans="1:6" ht="12.75">
      <c r="A16" s="11"/>
      <c r="B16" s="12"/>
      <c r="C16" s="13"/>
      <c r="D16" s="178"/>
      <c r="F16" s="10"/>
    </row>
    <row r="17" spans="2:6" ht="12.75">
      <c r="B17" s="79"/>
      <c r="C17" s="80"/>
      <c r="F17" s="10"/>
    </row>
    <row r="18" spans="1:6" ht="12.75">
      <c r="A18" s="11"/>
      <c r="B18" s="81" t="s">
        <v>15</v>
      </c>
      <c r="C18" s="82"/>
      <c r="F18" s="10"/>
    </row>
    <row r="19" spans="1:6" ht="15" customHeight="1">
      <c r="A19" s="121" t="s">
        <v>16</v>
      </c>
      <c r="B19" s="12">
        <v>1</v>
      </c>
      <c r="C19" s="13"/>
      <c r="D19" s="178"/>
      <c r="F19" s="10"/>
    </row>
    <row r="20" spans="1:6" ht="12.75">
      <c r="A20" s="11"/>
      <c r="B20" s="12"/>
      <c r="C20" s="13"/>
      <c r="D20" s="178"/>
      <c r="F20" s="10"/>
    </row>
    <row r="21" spans="1:6" ht="12.75">
      <c r="A21" s="11"/>
      <c r="B21" s="12"/>
      <c r="C21" s="13"/>
      <c r="D21" s="178"/>
      <c r="F21" s="10"/>
    </row>
    <row r="22" spans="2:4" ht="12.75">
      <c r="B22" s="18"/>
      <c r="C22" s="179"/>
      <c r="D22" s="178"/>
    </row>
    <row r="23" spans="1:4" ht="19.5" customHeight="1">
      <c r="A23"/>
      <c r="B23" s="26" t="s">
        <v>63</v>
      </c>
      <c r="C23" s="180"/>
      <c r="D23" s="178"/>
    </row>
    <row r="24" spans="1:4" ht="15.75" customHeight="1">
      <c r="A24" s="122" t="s">
        <v>19</v>
      </c>
      <c r="B24">
        <v>1</v>
      </c>
      <c r="C24"/>
      <c r="D24" s="178"/>
    </row>
    <row r="25" spans="1:4" ht="12.75" customHeight="1">
      <c r="A25" s="22" t="s">
        <v>67</v>
      </c>
      <c r="B25" s="128">
        <v>400</v>
      </c>
      <c r="C25" s="181" t="s">
        <v>64</v>
      </c>
      <c r="D25" s="178"/>
    </row>
    <row r="26" spans="1:4" ht="12.75" customHeight="1" hidden="1">
      <c r="A26" s="22" t="s">
        <v>33</v>
      </c>
      <c r="B26" s="43">
        <f>HLOOKUP(2,'Efficiency Assumptions'!C16:D21,B35,TRUE)</f>
        <v>1</v>
      </c>
      <c r="C26" s="182"/>
      <c r="D26" s="178"/>
    </row>
    <row r="27" spans="1:4" ht="13.5" customHeight="1" hidden="1">
      <c r="A27" s="48" t="s">
        <v>34</v>
      </c>
      <c r="B27" s="72">
        <f>HLOOKUP(2,'Efficiency Assumptions'!D16:D21,'Data Center Energy Savings Calc'!B36,TRUE)</f>
        <v>1</v>
      </c>
      <c r="C27" s="20"/>
      <c r="D27" s="178"/>
    </row>
    <row r="28" spans="1:4" ht="12.75">
      <c r="A28" s="24">
        <f>IF(B25&lt;D46,"Choose higher power supply DC rating.","")</f>
      </c>
      <c r="B28" s="20"/>
      <c r="C28" s="20"/>
      <c r="D28" s="178"/>
    </row>
    <row r="29" spans="4:13" ht="13.5" customHeight="1">
      <c r="D29" s="178"/>
      <c r="K29" s="66"/>
      <c r="L29" s="67"/>
      <c r="M29" s="67"/>
    </row>
    <row r="30" spans="2:7" ht="24" customHeight="1">
      <c r="B30" s="18"/>
      <c r="C30" s="179"/>
      <c r="D30" s="183"/>
      <c r="E30" s="25"/>
      <c r="F30" s="25"/>
      <c r="G30" s="25"/>
    </row>
    <row r="31" spans="1:6" ht="13.5" customHeight="1">
      <c r="A31"/>
      <c r="B31" s="26" t="s">
        <v>61</v>
      </c>
      <c r="C31" s="180"/>
      <c r="D31" s="183"/>
      <c r="E31" s="25"/>
      <c r="F31" s="25"/>
    </row>
    <row r="32" spans="1:6" ht="17.25" customHeight="1">
      <c r="A32" s="122" t="s">
        <v>6</v>
      </c>
      <c r="B32">
        <v>4</v>
      </c>
      <c r="C32"/>
      <c r="D32" s="25"/>
      <c r="E32" s="25"/>
      <c r="F32" s="25"/>
    </row>
    <row r="33" spans="1:5" ht="24" customHeight="1">
      <c r="A33" s="48" t="s">
        <v>68</v>
      </c>
      <c r="B33" s="128">
        <v>250</v>
      </c>
      <c r="C33" s="55" t="s">
        <v>69</v>
      </c>
      <c r="D33" s="25"/>
      <c r="E33"/>
    </row>
    <row r="34" spans="1:7" ht="13.5" customHeight="1">
      <c r="A34" s="24">
        <f>IF(B33&lt;D49,"Choose higher UPS rating.","")</f>
      </c>
      <c r="B34" s="52"/>
      <c r="C34" s="53"/>
      <c r="D34" s="25"/>
      <c r="E34" s="25"/>
      <c r="F34" s="25"/>
      <c r="G34" s="25"/>
    </row>
    <row r="35" spans="1:7" ht="22.5" customHeight="1">
      <c r="A35" s="123" t="s">
        <v>10</v>
      </c>
      <c r="B35" s="74">
        <v>2</v>
      </c>
      <c r="C35" s="74"/>
      <c r="D35" s="74"/>
      <c r="E35" s="74"/>
      <c r="F35"/>
      <c r="G35" s="25"/>
    </row>
    <row r="36" spans="1:5" ht="23.25" customHeight="1">
      <c r="A36" s="123" t="s">
        <v>11</v>
      </c>
      <c r="B36" s="77">
        <v>2</v>
      </c>
      <c r="C36" s="74"/>
      <c r="D36" s="74"/>
      <c r="E36" s="74"/>
    </row>
    <row r="37" spans="1:14" ht="12.75" customHeight="1">
      <c r="A37" s="72" t="s">
        <v>12</v>
      </c>
      <c r="B37" s="72">
        <f>HLOOKUP(1,'Efficiency Assumptions'!C16:C21,'Data Center Energy Savings Calc'!B35,TRUE)</f>
        <v>1</v>
      </c>
      <c r="C37" s="76"/>
      <c r="J37" s="68"/>
      <c r="K37" s="69"/>
      <c r="L37" s="69"/>
      <c r="M37" s="69"/>
      <c r="N37" s="69"/>
    </row>
    <row r="38" spans="1:14" ht="12.75" customHeight="1">
      <c r="A38" s="75" t="s">
        <v>13</v>
      </c>
      <c r="B38" s="72">
        <f>HLOOKUP(1,'Efficiency Assumptions'!C16:C21,B36,TRUE)</f>
        <v>1</v>
      </c>
      <c r="C38" s="21"/>
      <c r="J38" s="68"/>
      <c r="K38" s="69"/>
      <c r="L38" s="69"/>
      <c r="M38" s="69"/>
      <c r="N38" s="69"/>
    </row>
    <row r="39" ht="12.75" customHeight="1"/>
    <row r="40" ht="22.5" customHeight="1"/>
    <row r="41" spans="1:11" ht="16.5" customHeight="1">
      <c r="A41" s="27" t="s">
        <v>84</v>
      </c>
      <c r="B41" s="28"/>
      <c r="C41" s="28"/>
      <c r="D41" s="28"/>
      <c r="E41" s="28"/>
      <c r="F41" s="28"/>
      <c r="G41" s="28"/>
      <c r="H41" s="96" t="s">
        <v>24</v>
      </c>
      <c r="I41" s="52"/>
      <c r="J41" s="52"/>
      <c r="K41" s="53"/>
    </row>
    <row r="42" spans="1:11" ht="12.75" customHeight="1">
      <c r="A42" s="51"/>
      <c r="B42" s="53"/>
      <c r="C42" s="57" t="s">
        <v>38</v>
      </c>
      <c r="D42" s="58"/>
      <c r="E42" s="59" t="s">
        <v>39</v>
      </c>
      <c r="F42" s="60"/>
      <c r="G42" s="52"/>
      <c r="H42" s="90" t="s">
        <v>38</v>
      </c>
      <c r="I42" s="58"/>
      <c r="J42" s="59" t="s">
        <v>39</v>
      </c>
      <c r="K42" s="60"/>
    </row>
    <row r="43" spans="1:11" ht="19.5">
      <c r="A43" s="32"/>
      <c r="B43" s="33"/>
      <c r="C43" s="34" t="s">
        <v>25</v>
      </c>
      <c r="D43" s="34" t="s">
        <v>72</v>
      </c>
      <c r="E43" s="50" t="s">
        <v>25</v>
      </c>
      <c r="F43" s="49" t="s">
        <v>72</v>
      </c>
      <c r="G43" s="89" t="s">
        <v>60</v>
      </c>
      <c r="H43" s="50" t="s">
        <v>25</v>
      </c>
      <c r="I43" s="34" t="s">
        <v>72</v>
      </c>
      <c r="J43" s="50" t="s">
        <v>25</v>
      </c>
      <c r="K43" s="88" t="s">
        <v>72</v>
      </c>
    </row>
    <row r="44" spans="1:11" ht="12.75">
      <c r="A44" s="35" t="s">
        <v>74</v>
      </c>
      <c r="B44" s="36"/>
      <c r="C44" s="22">
        <f>'Efficiency Assumptions'!C29</f>
        <v>60</v>
      </c>
      <c r="D44" s="44">
        <f>'Efficiency Assumptions'!D29</f>
        <v>130</v>
      </c>
      <c r="E44" s="46">
        <f>'Efficiency Assumptions'!C29</f>
        <v>60</v>
      </c>
      <c r="F44" s="29">
        <f>'Efficiency Assumptions'!D29</f>
        <v>130</v>
      </c>
      <c r="G44" s="86"/>
      <c r="H44" s="46"/>
      <c r="I44" s="44"/>
      <c r="J44" s="46"/>
      <c r="K44" s="29"/>
    </row>
    <row r="45" spans="1:11" ht="12.75">
      <c r="A45" s="35" t="s">
        <v>75</v>
      </c>
      <c r="B45" s="36"/>
      <c r="C45" s="37">
        <f>C44/'Efficiency Assumptions'!C24</f>
        <v>71.42857142857143</v>
      </c>
      <c r="D45" s="45">
        <f>D44/'Efficiency Assumptions'!C24</f>
        <v>154.76190476190476</v>
      </c>
      <c r="E45" s="65">
        <f>E44/HLOOKUP(1,'Efficiency Assumptions'!$C$23:$C$25,'Data Center Energy Savings Calc'!$B$19+1,TRUE)</f>
        <v>71.42857142857143</v>
      </c>
      <c r="F45" s="37">
        <f>F44/HLOOKUP(1,'Efficiency Assumptions'!$C$23:$C$25,'Data Center Energy Savings Calc'!$B$19+1,TRUE)</f>
        <v>154.76190476190476</v>
      </c>
      <c r="G45" s="45">
        <f>((C45-C44)-(E45-E44))*'Efficiency Assumptions'!C31+(('Data Center Energy Savings Calc'!D45-'Data Center Energy Savings Calc'!D44)-('Data Center Energy Savings Calc'!F45-'Data Center Energy Savings Calc'!F44))*'Efficiency Assumptions'!D31</f>
        <v>0</v>
      </c>
      <c r="H45" s="47"/>
      <c r="I45" s="45"/>
      <c r="J45" s="65"/>
      <c r="K45" s="37"/>
    </row>
    <row r="46" spans="1:11" ht="12.75">
      <c r="A46" s="35" t="s">
        <v>76</v>
      </c>
      <c r="B46" s="36"/>
      <c r="C46" s="37">
        <f>'Efficiency Assumptions'!C30+C45</f>
        <v>131.42857142857144</v>
      </c>
      <c r="D46" s="45">
        <f>'Efficiency Assumptions'!D30+D45</f>
        <v>374.76190476190476</v>
      </c>
      <c r="E46" s="47">
        <f>E45+'Efficiency Assumptions'!C30</f>
        <v>131.42857142857144</v>
      </c>
      <c r="F46" s="54">
        <f>F45+'Efficiency Assumptions'!D30</f>
        <v>374.76190476190476</v>
      </c>
      <c r="G46" s="87"/>
      <c r="H46" s="47"/>
      <c r="I46" s="45"/>
      <c r="J46" s="47"/>
      <c r="K46" s="54"/>
    </row>
    <row r="47" spans="1:11" ht="12.75">
      <c r="A47" s="35" t="s">
        <v>77</v>
      </c>
      <c r="B47" s="36"/>
      <c r="C47" s="37">
        <f>C46/HLOOKUP(C46/B25/B26,'Efficiency Assumptions'!B3:H4,2,TRUE)</f>
        <v>182.80448576341223</v>
      </c>
      <c r="D47" s="37">
        <f>D46/HLOOKUP(D46/B25/B26,'Efficiency Assumptions'!B3:H4,2,TRUE)</f>
        <v>505.3731472691705</v>
      </c>
      <c r="E47" s="47">
        <f>E46/HLOOKUP(E46/B25/B27,'Efficiency Assumptions'!B3:H5,B24+1,TRUE)</f>
        <v>182.80448576341223</v>
      </c>
      <c r="F47" s="54">
        <f>F46/HLOOKUP(F46/B25/B27,'Efficiency Assumptions'!B3:H5,B24+1,TRUE)</f>
        <v>505.3731472691705</v>
      </c>
      <c r="G47" s="45">
        <f>((C47-C46)-(E47-E46))*'Efficiency Assumptions'!C31+(('Data Center Energy Savings Calc'!D47-'Data Center Energy Savings Calc'!D46)-('Data Center Energy Savings Calc'!F47-'Data Center Energy Savings Calc'!F46))*'Efficiency Assumptions'!D31</f>
        <v>0</v>
      </c>
      <c r="H47" s="92">
        <f>C46/$B$27/$B$25</f>
        <v>0.3285714285714286</v>
      </c>
      <c r="I47" s="95">
        <f>D46/$B$27/$B$25</f>
        <v>0.9369047619047619</v>
      </c>
      <c r="J47" s="91">
        <f>E46/$B$27/$B$25</f>
        <v>0.3285714285714286</v>
      </c>
      <c r="K47" s="93">
        <f>F46/$B$27/$B$25</f>
        <v>0.9369047619047619</v>
      </c>
    </row>
    <row r="48" spans="1:11" ht="12.75">
      <c r="A48" s="35" t="s">
        <v>78</v>
      </c>
      <c r="B48" s="36"/>
      <c r="C48" s="37">
        <f>C47*B9/1000</f>
        <v>7.3121794305364896</v>
      </c>
      <c r="D48" s="56">
        <f>D47*B9/1000</f>
        <v>20.214925890766818</v>
      </c>
      <c r="E48" s="47">
        <f>E47*B9/1000</f>
        <v>7.3121794305364896</v>
      </c>
      <c r="F48" s="54">
        <f>F47*B9/1000</f>
        <v>20.214925890766818</v>
      </c>
      <c r="G48" s="45">
        <f>B9*SUM(G45:G47)/1000</f>
        <v>0</v>
      </c>
      <c r="H48" s="47"/>
      <c r="I48" s="56"/>
      <c r="J48" s="47"/>
      <c r="K48" s="54"/>
    </row>
    <row r="49" spans="1:12" ht="12.75">
      <c r="A49" s="35" t="s">
        <v>0</v>
      </c>
      <c r="B49" s="36"/>
      <c r="C49" s="37">
        <f>C48*B8</f>
        <v>73.1217943053649</v>
      </c>
      <c r="D49" s="56">
        <f>D48*B8</f>
        <v>202.14925890766818</v>
      </c>
      <c r="E49" s="47">
        <f>E48*B8</f>
        <v>73.1217943053649</v>
      </c>
      <c r="F49" s="54">
        <f>B8*F48</f>
        <v>202.14925890766818</v>
      </c>
      <c r="G49" s="45">
        <f>G48*B8</f>
        <v>0</v>
      </c>
      <c r="H49" s="47"/>
      <c r="I49" s="56"/>
      <c r="J49" s="47"/>
      <c r="K49" s="54"/>
      <c r="L49" s="74"/>
    </row>
    <row r="50" spans="1:12" ht="12.75">
      <c r="A50" s="35" t="s">
        <v>79</v>
      </c>
      <c r="B50" s="36"/>
      <c r="C50" s="135">
        <f>C49/HLOOKUP(C49/$B$37/$B$33,'Efficiency Assumptions'!$B$8:$H$12,2,TRUE)</f>
        <v>90.27382013008013</v>
      </c>
      <c r="D50" s="45">
        <f>D49/HLOOKUP(D49/$B$37/$B$33,'Efficiency Assumptions'!$B$8:$H$12,2,TRUE)</f>
        <v>235.05727779961418</v>
      </c>
      <c r="E50" s="47">
        <f>E49/HLOOKUP(E49/$B$38/$B$33,'Efficiency Assumptions'!B8:H12,B32+1,TRUE)</f>
        <v>78.72723652794372</v>
      </c>
      <c r="F50" s="37">
        <f>F49/HLOOKUP(F49/$B$38/$B$33,'Efficiency Assumptions'!$B$8:$H$12,B32+1,TRUE)</f>
        <v>206.79561715099155</v>
      </c>
      <c r="G50" s="45">
        <f>((C50-C49)-(E50-E49))</f>
        <v>11.546583602136408</v>
      </c>
      <c r="H50" s="91">
        <f>C49/B37/B33</f>
        <v>0.2924871772214596</v>
      </c>
      <c r="I50" s="95">
        <f>D49/B37/B33</f>
        <v>0.8085970356306728</v>
      </c>
      <c r="J50" s="91">
        <f>E49/B38/B33</f>
        <v>0.2924871772214596</v>
      </c>
      <c r="K50" s="94">
        <f>F49/B38/B33</f>
        <v>0.8085970356306728</v>
      </c>
      <c r="L50" s="156"/>
    </row>
    <row r="51" spans="1:12" ht="12.75">
      <c r="A51" s="159"/>
      <c r="G51" s="174">
        <f>SUM(G49:G50)</f>
        <v>11.546583602136408</v>
      </c>
      <c r="H51" s="175" t="s">
        <v>83</v>
      </c>
      <c r="I51" s="176"/>
      <c r="L51" s="157"/>
    </row>
    <row r="52" ht="12.75">
      <c r="L52" s="158"/>
    </row>
    <row r="53" ht="12.75">
      <c r="L53" s="158"/>
    </row>
    <row r="54" ht="12.75">
      <c r="L54" s="158"/>
    </row>
    <row r="55" ht="12.75">
      <c r="L55" s="158"/>
    </row>
    <row r="56" ht="12.75">
      <c r="L56" s="158"/>
    </row>
    <row r="57" ht="12.75">
      <c r="L57" s="158"/>
    </row>
    <row r="59" ht="12.75">
      <c r="A59" s="159"/>
    </row>
    <row r="60" ht="12.75">
      <c r="A60" s="159"/>
    </row>
    <row r="61" spans="1:7" ht="12.75" hidden="1">
      <c r="A61" s="27" t="s">
        <v>85</v>
      </c>
      <c r="B61" s="28"/>
      <c r="C61" s="28"/>
      <c r="D61" s="28"/>
      <c r="E61" s="28"/>
      <c r="F61" s="28"/>
      <c r="G61" s="23"/>
    </row>
    <row r="62" spans="1:7" ht="12.75" hidden="1">
      <c r="A62" s="51"/>
      <c r="B62" s="53"/>
      <c r="C62" s="59" t="s">
        <v>38</v>
      </c>
      <c r="D62" s="60"/>
      <c r="E62" s="59" t="s">
        <v>39</v>
      </c>
      <c r="F62" s="60"/>
      <c r="G62" s="53"/>
    </row>
    <row r="63" spans="1:7" ht="19.5" hidden="1">
      <c r="A63" s="161"/>
      <c r="B63" s="162"/>
      <c r="C63" s="163" t="s">
        <v>71</v>
      </c>
      <c r="D63" s="163" t="s">
        <v>72</v>
      </c>
      <c r="E63" s="164" t="s">
        <v>71</v>
      </c>
      <c r="F63" s="49" t="s">
        <v>72</v>
      </c>
      <c r="G63" s="163" t="s">
        <v>60</v>
      </c>
    </row>
    <row r="64" spans="1:7" ht="12.75" hidden="1">
      <c r="A64" s="165" t="s">
        <v>74</v>
      </c>
      <c r="B64" s="166"/>
      <c r="C64" s="29">
        <f aca="true" t="shared" si="0" ref="C64:D70">C44</f>
        <v>60</v>
      </c>
      <c r="D64" s="29">
        <f t="shared" si="0"/>
        <v>130</v>
      </c>
      <c r="E64" s="167" t="s">
        <v>81</v>
      </c>
      <c r="F64" s="63" t="s">
        <v>81</v>
      </c>
      <c r="G64" s="168"/>
    </row>
    <row r="65" spans="1:7" ht="12.75" hidden="1">
      <c r="A65" s="165" t="s">
        <v>75</v>
      </c>
      <c r="B65" s="166"/>
      <c r="C65" s="54">
        <f t="shared" si="0"/>
        <v>71.42857142857143</v>
      </c>
      <c r="D65" s="54">
        <f t="shared" si="0"/>
        <v>154.76190476190476</v>
      </c>
      <c r="E65" s="169" t="s">
        <v>81</v>
      </c>
      <c r="F65" s="64" t="s">
        <v>81</v>
      </c>
      <c r="G65" s="54"/>
    </row>
    <row r="66" spans="1:7" ht="12.75" hidden="1">
      <c r="A66" s="165" t="s">
        <v>76</v>
      </c>
      <c r="B66" s="166"/>
      <c r="C66" s="54">
        <f t="shared" si="0"/>
        <v>131.42857142857144</v>
      </c>
      <c r="D66" s="54">
        <f t="shared" si="0"/>
        <v>374.76190476190476</v>
      </c>
      <c r="E66" s="169" t="s">
        <v>81</v>
      </c>
      <c r="F66" s="64" t="s">
        <v>81</v>
      </c>
      <c r="G66" s="170"/>
    </row>
    <row r="67" spans="1:7" ht="12.75" hidden="1">
      <c r="A67" s="165" t="s">
        <v>77</v>
      </c>
      <c r="B67" s="166"/>
      <c r="C67" s="54">
        <f t="shared" si="0"/>
        <v>182.80448576341223</v>
      </c>
      <c r="D67" s="54">
        <f t="shared" si="0"/>
        <v>505.3731472691705</v>
      </c>
      <c r="E67" s="169" t="s">
        <v>81</v>
      </c>
      <c r="F67" s="64" t="s">
        <v>81</v>
      </c>
      <c r="G67" s="54"/>
    </row>
    <row r="68" spans="1:7" ht="12.75" hidden="1">
      <c r="A68" s="165" t="s">
        <v>78</v>
      </c>
      <c r="B68" s="166"/>
      <c r="C68" s="54">
        <f t="shared" si="0"/>
        <v>7.3121794305364896</v>
      </c>
      <c r="D68" s="54">
        <f t="shared" si="0"/>
        <v>20.214925890766818</v>
      </c>
      <c r="E68" s="169" t="s">
        <v>81</v>
      </c>
      <c r="F68" s="64" t="s">
        <v>81</v>
      </c>
      <c r="G68" s="54"/>
    </row>
    <row r="69" spans="1:7" ht="12.75" hidden="1">
      <c r="A69" s="165" t="s">
        <v>0</v>
      </c>
      <c r="B69" s="166"/>
      <c r="C69" s="54">
        <f t="shared" si="0"/>
        <v>73.1217943053649</v>
      </c>
      <c r="D69" s="54">
        <f t="shared" si="0"/>
        <v>202.14925890766818</v>
      </c>
      <c r="E69" s="171">
        <f>C69</f>
        <v>73.1217943053649</v>
      </c>
      <c r="F69" s="54">
        <f>D69</f>
        <v>202.14925890766818</v>
      </c>
      <c r="G69" s="54"/>
    </row>
    <row r="70" spans="1:7" ht="12.75" hidden="1">
      <c r="A70" s="165" t="s">
        <v>79</v>
      </c>
      <c r="B70" s="166"/>
      <c r="C70" s="54">
        <f t="shared" si="0"/>
        <v>90.27382013008013</v>
      </c>
      <c r="D70" s="54">
        <f t="shared" si="0"/>
        <v>235.05727779961418</v>
      </c>
      <c r="E70" s="172">
        <f>E69/HLOOKUP(E69/B38/B33,'Efficiency Assumptions'!C8:H12,B32+1,TRUE)</f>
        <v>78.72723652794372</v>
      </c>
      <c r="F70" s="54">
        <f>F69/HLOOKUP(F69/B38/B33,'Efficiency Assumptions'!C8:H12,B32+1,TRUE)</f>
        <v>206.79561715099155</v>
      </c>
      <c r="G70" s="54">
        <f>(C70-C69)-(E70-E69)</f>
        <v>11.546583602136408</v>
      </c>
    </row>
    <row r="71" spans="7:8" ht="12.75" hidden="1">
      <c r="G71" s="160">
        <f>SUM(G64:G70)</f>
        <v>11.546583602136408</v>
      </c>
      <c r="H71" s="8" t="s">
        <v>83</v>
      </c>
    </row>
    <row r="72" ht="12.75" hidden="1"/>
    <row r="73" ht="12.75" hidden="1"/>
    <row r="74" spans="1:7" ht="12.75" hidden="1">
      <c r="A74" s="27" t="s">
        <v>86</v>
      </c>
      <c r="B74" s="28"/>
      <c r="C74" s="28"/>
      <c r="D74" s="28"/>
      <c r="E74" s="28"/>
      <c r="F74" s="28"/>
      <c r="G74" s="23"/>
    </row>
    <row r="75" spans="1:7" ht="12.75" hidden="1">
      <c r="A75" s="51"/>
      <c r="B75" s="53"/>
      <c r="C75" s="59" t="s">
        <v>38</v>
      </c>
      <c r="D75" s="60"/>
      <c r="E75" s="59" t="s">
        <v>39</v>
      </c>
      <c r="F75" s="60"/>
      <c r="G75" s="53"/>
    </row>
    <row r="76" spans="1:7" ht="19.5" hidden="1">
      <c r="A76" s="161"/>
      <c r="B76" s="162"/>
      <c r="C76" s="163" t="s">
        <v>71</v>
      </c>
      <c r="D76" s="163" t="s">
        <v>72</v>
      </c>
      <c r="E76" s="164" t="s">
        <v>71</v>
      </c>
      <c r="F76" s="49" t="s">
        <v>72</v>
      </c>
      <c r="G76" s="163" t="s">
        <v>60</v>
      </c>
    </row>
    <row r="77" spans="1:7" ht="12.75" hidden="1">
      <c r="A77" s="165" t="s">
        <v>74</v>
      </c>
      <c r="B77" s="166"/>
      <c r="C77" s="29">
        <f aca="true" t="shared" si="1" ref="C77:D83">C64</f>
        <v>60</v>
      </c>
      <c r="D77" s="29">
        <f t="shared" si="1"/>
        <v>130</v>
      </c>
      <c r="E77" s="167" t="s">
        <v>81</v>
      </c>
      <c r="F77" s="63" t="s">
        <v>81</v>
      </c>
      <c r="G77" s="168"/>
    </row>
    <row r="78" spans="1:7" ht="12.75" hidden="1">
      <c r="A78" s="165" t="s">
        <v>75</v>
      </c>
      <c r="B78" s="166"/>
      <c r="C78" s="54">
        <f t="shared" si="1"/>
        <v>71.42857142857143</v>
      </c>
      <c r="D78" s="54">
        <f t="shared" si="1"/>
        <v>154.76190476190476</v>
      </c>
      <c r="E78" s="169" t="s">
        <v>81</v>
      </c>
      <c r="F78" s="64" t="s">
        <v>81</v>
      </c>
      <c r="G78" s="54"/>
    </row>
    <row r="79" spans="1:7" ht="12.75" hidden="1">
      <c r="A79" s="165" t="s">
        <v>76</v>
      </c>
      <c r="B79" s="166"/>
      <c r="C79" s="54">
        <f t="shared" si="1"/>
        <v>131.42857142857144</v>
      </c>
      <c r="D79" s="54">
        <f t="shared" si="1"/>
        <v>374.76190476190476</v>
      </c>
      <c r="E79" s="169">
        <f>C79</f>
        <v>131.42857142857144</v>
      </c>
      <c r="F79" s="64">
        <f>D79</f>
        <v>374.76190476190476</v>
      </c>
      <c r="G79" s="170"/>
    </row>
    <row r="80" spans="1:7" ht="12.75" hidden="1">
      <c r="A80" s="165" t="s">
        <v>77</v>
      </c>
      <c r="B80" s="166"/>
      <c r="C80" s="54">
        <f t="shared" si="1"/>
        <v>182.80448576341223</v>
      </c>
      <c r="D80" s="54">
        <f t="shared" si="1"/>
        <v>505.3731472691705</v>
      </c>
      <c r="E80" s="169">
        <f>E79/HLOOKUP(E79/B25/B27,'Efficiency Assumptions'!C3:H5,B24+1,TRUE)</f>
        <v>182.80448576341223</v>
      </c>
      <c r="F80" s="64">
        <f>F79/HLOOKUP(F79/B25/B27,'Efficiency Assumptions'!C3:H5,B24+1,TRUE)</f>
        <v>505.3731472691705</v>
      </c>
      <c r="G80" s="54">
        <f>((C80-C79)-(E80-E79))*'Efficiency Assumptions'!C31-(('Data Center Energy Savings Calc'!D80-'Data Center Energy Savings Calc'!D79)-('Data Center Energy Savings Calc'!F80-'Data Center Energy Savings Calc'!F79))*'Efficiency Assumptions'!D31</f>
        <v>0</v>
      </c>
    </row>
    <row r="81" spans="1:7" ht="12.75" hidden="1">
      <c r="A81" s="165" t="s">
        <v>78</v>
      </c>
      <c r="B81" s="166"/>
      <c r="C81" s="54">
        <f t="shared" si="1"/>
        <v>7.3121794305364896</v>
      </c>
      <c r="D81" s="54">
        <f t="shared" si="1"/>
        <v>20.214925890766818</v>
      </c>
      <c r="E81" s="169"/>
      <c r="F81" s="64"/>
      <c r="G81" s="54">
        <f>G80*B9/1000</f>
        <v>0</v>
      </c>
    </row>
    <row r="82" spans="1:7" ht="12.75" hidden="1">
      <c r="A82" s="165" t="s">
        <v>0</v>
      </c>
      <c r="B82" s="166"/>
      <c r="C82" s="54">
        <f t="shared" si="1"/>
        <v>73.1217943053649</v>
      </c>
      <c r="D82" s="54">
        <f t="shared" si="1"/>
        <v>202.14925890766818</v>
      </c>
      <c r="E82" s="171"/>
      <c r="F82" s="54"/>
      <c r="G82" s="54">
        <f>G81*B8</f>
        <v>0</v>
      </c>
    </row>
    <row r="83" spans="1:7" ht="12.75" hidden="1">
      <c r="A83" s="165" t="s">
        <v>79</v>
      </c>
      <c r="B83" s="166"/>
      <c r="C83" s="54">
        <f t="shared" si="1"/>
        <v>90.27382013008013</v>
      </c>
      <c r="D83" s="54">
        <f t="shared" si="1"/>
        <v>235.05727779961418</v>
      </c>
      <c r="E83" s="172"/>
      <c r="F83" s="54"/>
      <c r="G83" s="54"/>
    </row>
    <row r="84" spans="7:8" ht="12.75" hidden="1">
      <c r="G84" s="160">
        <f>SUM(G82:G83)</f>
        <v>0</v>
      </c>
      <c r="H84" s="8" t="s">
        <v>83</v>
      </c>
    </row>
    <row r="85" ht="12.75" hidden="1"/>
    <row r="86" ht="12.75" hidden="1"/>
    <row r="87" spans="1:7" ht="12.75" hidden="1">
      <c r="A87" s="27" t="s">
        <v>87</v>
      </c>
      <c r="B87" s="28"/>
      <c r="C87" s="28"/>
      <c r="D87" s="28"/>
      <c r="E87" s="28"/>
      <c r="F87" s="28"/>
      <c r="G87" s="23"/>
    </row>
    <row r="88" spans="1:7" ht="12.75" hidden="1">
      <c r="A88" s="51"/>
      <c r="B88" s="53"/>
      <c r="C88" s="59" t="s">
        <v>38</v>
      </c>
      <c r="D88" s="60"/>
      <c r="E88" s="59" t="s">
        <v>39</v>
      </c>
      <c r="F88" s="60"/>
      <c r="G88" s="53"/>
    </row>
    <row r="89" spans="1:7" ht="19.5" hidden="1">
      <c r="A89" s="161"/>
      <c r="B89" s="162"/>
      <c r="C89" s="163" t="s">
        <v>71</v>
      </c>
      <c r="D89" s="163" t="s">
        <v>72</v>
      </c>
      <c r="E89" s="164" t="s">
        <v>71</v>
      </c>
      <c r="F89" s="49" t="s">
        <v>72</v>
      </c>
      <c r="G89" s="163" t="s">
        <v>60</v>
      </c>
    </row>
    <row r="90" spans="1:7" ht="12.75" hidden="1">
      <c r="A90" s="165" t="s">
        <v>74</v>
      </c>
      <c r="B90" s="166"/>
      <c r="C90" s="29">
        <f aca="true" t="shared" si="2" ref="C90:D96">C77</f>
        <v>60</v>
      </c>
      <c r="D90" s="29">
        <f t="shared" si="2"/>
        <v>130</v>
      </c>
      <c r="E90" s="167" t="s">
        <v>81</v>
      </c>
      <c r="F90" s="63" t="s">
        <v>81</v>
      </c>
      <c r="G90" s="168"/>
    </row>
    <row r="91" spans="1:7" ht="12.75" hidden="1">
      <c r="A91" s="165" t="s">
        <v>75</v>
      </c>
      <c r="B91" s="166"/>
      <c r="C91" s="54">
        <f t="shared" si="2"/>
        <v>71.42857142857143</v>
      </c>
      <c r="D91" s="54">
        <f t="shared" si="2"/>
        <v>154.76190476190476</v>
      </c>
      <c r="E91" s="169" t="s">
        <v>81</v>
      </c>
      <c r="F91" s="64" t="s">
        <v>81</v>
      </c>
      <c r="G91" s="54"/>
    </row>
    <row r="92" spans="1:7" ht="12.75" hidden="1">
      <c r="A92" s="165" t="s">
        <v>76</v>
      </c>
      <c r="B92" s="166"/>
      <c r="C92" s="54">
        <f t="shared" si="2"/>
        <v>131.42857142857144</v>
      </c>
      <c r="D92" s="54">
        <f t="shared" si="2"/>
        <v>374.76190476190476</v>
      </c>
      <c r="E92" s="169">
        <f>C92</f>
        <v>131.42857142857144</v>
      </c>
      <c r="F92" s="64">
        <f>D92</f>
        <v>374.76190476190476</v>
      </c>
      <c r="G92" s="170"/>
    </row>
    <row r="93" spans="1:7" ht="12.75" hidden="1">
      <c r="A93" s="165" t="s">
        <v>77</v>
      </c>
      <c r="B93" s="166"/>
      <c r="C93" s="54">
        <f t="shared" si="2"/>
        <v>182.80448576341223</v>
      </c>
      <c r="D93" s="54">
        <f t="shared" si="2"/>
        <v>505.3731472691705</v>
      </c>
      <c r="E93" s="173">
        <f>E92/HLOOKUP(E92/$B$25/B27,'Efficiency Assumptions'!$C$3:$H$5,B24+1,TRUE)</f>
        <v>182.80448576341223</v>
      </c>
      <c r="F93" s="64">
        <f>F92/HLOOKUP(F92/$B$25/B27,'Efficiency Assumptions'!$C$3:$H$5,B24+1,TRUE)</f>
        <v>505.3731472691705</v>
      </c>
      <c r="G93" s="54">
        <f>((C93-C92)-(E93-E92))*'Efficiency Assumptions'!C31-(('Data Center Energy Savings Calc'!D93-'Data Center Energy Savings Calc'!D92)-('Data Center Energy Savings Calc'!F93-'Data Center Energy Savings Calc'!F92))*'Efficiency Assumptions'!D31</f>
        <v>0</v>
      </c>
    </row>
    <row r="94" spans="1:7" ht="12.75" hidden="1">
      <c r="A94" s="165" t="s">
        <v>78</v>
      </c>
      <c r="B94" s="166"/>
      <c r="C94" s="54">
        <f t="shared" si="2"/>
        <v>7.3121794305364896</v>
      </c>
      <c r="D94" s="54">
        <f t="shared" si="2"/>
        <v>20.214925890766818</v>
      </c>
      <c r="E94" s="173">
        <f>E93*$B$9/1000</f>
        <v>7.3121794305364896</v>
      </c>
      <c r="F94" s="64">
        <f>F93*$B$9/1000</f>
        <v>20.214925890766818</v>
      </c>
      <c r="G94" s="54">
        <f>G93*B9/1000</f>
        <v>0</v>
      </c>
    </row>
    <row r="95" spans="1:7" ht="12.75" hidden="1">
      <c r="A95" s="165" t="s">
        <v>0</v>
      </c>
      <c r="B95" s="166"/>
      <c r="C95" s="54">
        <f t="shared" si="2"/>
        <v>73.1217943053649</v>
      </c>
      <c r="D95" s="54">
        <f t="shared" si="2"/>
        <v>202.14925890766818</v>
      </c>
      <c r="E95" s="173">
        <f>E94*$B$8</f>
        <v>73.1217943053649</v>
      </c>
      <c r="F95" s="64">
        <f>F94*$B$8</f>
        <v>202.14925890766818</v>
      </c>
      <c r="G95" s="54">
        <f>G94*B8</f>
        <v>0</v>
      </c>
    </row>
    <row r="96" spans="1:7" ht="12.75" hidden="1">
      <c r="A96" s="165" t="s">
        <v>79</v>
      </c>
      <c r="B96" s="166"/>
      <c r="C96" s="54">
        <f t="shared" si="2"/>
        <v>90.27382013008013</v>
      </c>
      <c r="D96" s="54">
        <f t="shared" si="2"/>
        <v>235.05727779961418</v>
      </c>
      <c r="E96" s="173">
        <f>E95/HLOOKUP(E95/$B$38/$B$33,'Efficiency Assumptions'!$C$8:$H$12,$B$32+1,TRUE)</f>
        <v>78.72723652794372</v>
      </c>
      <c r="F96" s="64">
        <f>F95/HLOOKUP(F95/$B$38/$B$33,'Efficiency Assumptions'!$C$8:$H$12,$B$32+1,TRUE)</f>
        <v>206.79561715099155</v>
      </c>
      <c r="G96" s="54">
        <f>(C96-C95)-(E96-E95)</f>
        <v>11.546583602136408</v>
      </c>
    </row>
    <row r="97" spans="7:8" ht="12.75" hidden="1">
      <c r="G97" s="160">
        <f>SUM(G95:G96)</f>
        <v>11.546583602136408</v>
      </c>
      <c r="H97" s="8" t="s">
        <v>83</v>
      </c>
    </row>
  </sheetData>
  <mergeCells count="5">
    <mergeCell ref="E11:G11"/>
    <mergeCell ref="A5:C5"/>
    <mergeCell ref="A1:J1"/>
    <mergeCell ref="A2:J2"/>
    <mergeCell ref="A4:C4"/>
  </mergeCells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C28" sqref="C28"/>
    </sheetView>
  </sheetViews>
  <sheetFormatPr defaultColWidth="11.00390625" defaultRowHeight="12.75"/>
  <cols>
    <col min="1" max="16384" width="8.75390625" style="0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31" sqref="A31"/>
    </sheetView>
  </sheetViews>
  <sheetFormatPr defaultColWidth="11.00390625" defaultRowHeight="12.75"/>
  <cols>
    <col min="1" max="1" width="29.375" style="8" customWidth="1"/>
    <col min="2" max="2" width="7.875" style="8" hidden="1" customWidth="1"/>
    <col min="3" max="3" width="8.375" style="8" customWidth="1"/>
    <col min="4" max="4" width="9.00390625" style="8" customWidth="1"/>
    <col min="5" max="5" width="11.625" style="8" customWidth="1"/>
    <col min="6" max="9" width="9.00390625" style="8" customWidth="1"/>
    <col min="10" max="10" width="11.375" style="8" customWidth="1"/>
    <col min="11" max="16384" width="9.00390625" style="8" customWidth="1"/>
  </cols>
  <sheetData>
    <row r="1" spans="1:2" ht="12.75">
      <c r="A1" s="30" t="s">
        <v>66</v>
      </c>
      <c r="B1" s="30"/>
    </row>
    <row r="2" ht="12.75"/>
    <row r="3" spans="2:10" ht="13.5" thickBot="1">
      <c r="B3" s="140">
        <v>0</v>
      </c>
      <c r="C3" s="139">
        <v>0.1</v>
      </c>
      <c r="D3" s="139">
        <v>0.2</v>
      </c>
      <c r="E3" s="139">
        <v>0.3</v>
      </c>
      <c r="F3" s="139">
        <v>0.5</v>
      </c>
      <c r="G3" s="139">
        <v>0.75</v>
      </c>
      <c r="H3" s="139">
        <v>1</v>
      </c>
      <c r="J3" s="70" t="s">
        <v>20</v>
      </c>
    </row>
    <row r="4" spans="1:10" ht="13.5" thickTop="1">
      <c r="A4" s="31" t="s">
        <v>38</v>
      </c>
      <c r="B4" s="137">
        <f>C4</f>
        <v>0.5741613466968072</v>
      </c>
      <c r="C4" s="141">
        <v>0.5741613466968072</v>
      </c>
      <c r="D4" s="141">
        <v>0.6771801854579886</v>
      </c>
      <c r="E4" s="141">
        <v>0.7189570369660835</v>
      </c>
      <c r="F4" s="141">
        <v>0.7455662817019075</v>
      </c>
      <c r="G4" s="141">
        <v>0.7415548427671012</v>
      </c>
      <c r="H4" s="141">
        <v>0.7249002236458073</v>
      </c>
      <c r="J4" s="70" t="s">
        <v>18</v>
      </c>
    </row>
    <row r="5" spans="1:10" ht="12.75">
      <c r="A5" s="31" t="s">
        <v>39</v>
      </c>
      <c r="B5" s="137">
        <f>C5</f>
        <v>0.697</v>
      </c>
      <c r="C5" s="142">
        <v>0.697</v>
      </c>
      <c r="D5" s="142">
        <v>0.76765</v>
      </c>
      <c r="E5" s="142">
        <v>0.7896500000000001</v>
      </c>
      <c r="F5" s="142">
        <v>0.8180586186540731</v>
      </c>
      <c r="G5" s="142">
        <v>0.8172314814814814</v>
      </c>
      <c r="H5" s="142">
        <v>0.807172541838777</v>
      </c>
      <c r="J5" s="70" t="s">
        <v>17</v>
      </c>
    </row>
    <row r="6" ht="12.75"/>
    <row r="7" spans="1:2" ht="12.75">
      <c r="A7" s="30" t="s">
        <v>70</v>
      </c>
      <c r="B7" s="30"/>
    </row>
    <row r="8" spans="2:8" ht="13.5" thickBot="1">
      <c r="B8" s="139">
        <v>0</v>
      </c>
      <c r="C8" s="143">
        <v>0.1</v>
      </c>
      <c r="D8" s="139">
        <v>0.2</v>
      </c>
      <c r="E8" s="139">
        <v>0.3</v>
      </c>
      <c r="F8" s="139">
        <v>0.5</v>
      </c>
      <c r="G8" s="139">
        <v>0.75</v>
      </c>
      <c r="H8" s="139">
        <v>1</v>
      </c>
    </row>
    <row r="9" spans="1:8" ht="13.5" thickTop="1">
      <c r="A9" s="31" t="s">
        <v>14</v>
      </c>
      <c r="B9" s="138">
        <f>C9</f>
        <v>0.74</v>
      </c>
      <c r="C9" s="144">
        <v>0.74</v>
      </c>
      <c r="D9" s="144">
        <v>0.81</v>
      </c>
      <c r="E9" s="144">
        <v>0.84</v>
      </c>
      <c r="F9" s="144">
        <v>0.85</v>
      </c>
      <c r="G9" s="144">
        <v>0.86</v>
      </c>
      <c r="H9" s="144">
        <v>0.86</v>
      </c>
    </row>
    <row r="10" spans="1:8" ht="12.75">
      <c r="A10" s="31" t="s">
        <v>73</v>
      </c>
      <c r="B10" s="138">
        <f>C10</f>
        <v>0.87</v>
      </c>
      <c r="C10" s="145">
        <v>0.87</v>
      </c>
      <c r="D10" s="145">
        <v>0.931</v>
      </c>
      <c r="E10" s="145">
        <v>0.938</v>
      </c>
      <c r="F10" s="145">
        <v>0.941</v>
      </c>
      <c r="G10" s="145">
        <v>0.945</v>
      </c>
      <c r="H10" s="145">
        <v>0.948</v>
      </c>
    </row>
    <row r="11" spans="1:8" ht="12.75">
      <c r="A11" s="31" t="s">
        <v>36</v>
      </c>
      <c r="B11" s="138">
        <f>C11</f>
        <v>0.8772</v>
      </c>
      <c r="C11" s="145">
        <v>0.8772</v>
      </c>
      <c r="D11" s="145">
        <v>0.9335</v>
      </c>
      <c r="E11" s="145">
        <v>0.9522</v>
      </c>
      <c r="F11" s="145">
        <v>0.9667</v>
      </c>
      <c r="G11" s="145">
        <v>0.9693</v>
      </c>
      <c r="H11" s="145">
        <v>0.9709</v>
      </c>
    </row>
    <row r="12" spans="1:8" ht="12.75">
      <c r="A12" s="31" t="s">
        <v>82</v>
      </c>
      <c r="B12" s="138">
        <f>C12</f>
        <v>0.8948002500000001</v>
      </c>
      <c r="C12" s="145">
        <f aca="true" t="shared" si="0" ref="C12:H12">-0.3335*C8^4+0.9946*C8^3-1.1451*C8^2+0.6189*C8+0.8434</f>
        <v>0.8948002500000001</v>
      </c>
      <c r="D12" s="145">
        <f t="shared" si="0"/>
        <v>0.9287992</v>
      </c>
      <c r="E12" s="145">
        <f t="shared" si="0"/>
        <v>0.95016385</v>
      </c>
      <c r="F12" s="145">
        <f t="shared" si="0"/>
        <v>0.9700562500000001</v>
      </c>
      <c r="G12" s="145">
        <f t="shared" si="0"/>
        <v>0.9775316406250001</v>
      </c>
      <c r="H12" s="145">
        <f t="shared" si="0"/>
        <v>0.9783000000000001</v>
      </c>
    </row>
    <row r="13" ht="12.75"/>
    <row r="14" spans="1:2" ht="12.75">
      <c r="A14" s="30" t="s">
        <v>9</v>
      </c>
      <c r="B14" s="30"/>
    </row>
    <row r="15" spans="3:4" ht="51">
      <c r="C15" s="148" t="s">
        <v>7</v>
      </c>
      <c r="D15" s="148" t="s">
        <v>8</v>
      </c>
    </row>
    <row r="16" spans="3:4" ht="13.5" thickBot="1">
      <c r="C16" s="73">
        <v>1</v>
      </c>
      <c r="D16" s="73">
        <v>2</v>
      </c>
    </row>
    <row r="17" spans="1:4" ht="13.5" thickTop="1">
      <c r="A17" s="70" t="s">
        <v>1</v>
      </c>
      <c r="B17" s="71"/>
      <c r="C17" s="71">
        <v>1</v>
      </c>
      <c r="D17" s="71">
        <v>1</v>
      </c>
    </row>
    <row r="18" spans="1:4" ht="12.75">
      <c r="A18" s="70" t="s">
        <v>2</v>
      </c>
      <c r="B18" s="70"/>
      <c r="C18" s="70">
        <v>1</v>
      </c>
      <c r="D18" s="70">
        <v>1</v>
      </c>
    </row>
    <row r="19" spans="1:4" ht="12.75">
      <c r="A19" s="70" t="s">
        <v>3</v>
      </c>
      <c r="B19" s="70"/>
      <c r="C19" s="70">
        <v>2</v>
      </c>
      <c r="D19" s="70">
        <v>1</v>
      </c>
    </row>
    <row r="20" spans="1:4" ht="12.75">
      <c r="A20" s="70" t="s">
        <v>4</v>
      </c>
      <c r="B20" s="70"/>
      <c r="C20" s="70">
        <v>2</v>
      </c>
      <c r="D20" s="70">
        <v>2</v>
      </c>
    </row>
    <row r="21" spans="1:4" ht="12.75">
      <c r="A21" s="70" t="s">
        <v>5</v>
      </c>
      <c r="B21" s="70"/>
      <c r="C21" s="70">
        <v>4</v>
      </c>
      <c r="D21" s="70">
        <v>2</v>
      </c>
    </row>
    <row r="22" ht="12.75"/>
    <row r="23" spans="1:5" ht="13.5" thickBot="1">
      <c r="A23" s="61" t="s">
        <v>80</v>
      </c>
      <c r="B23" s="61"/>
      <c r="C23" s="73">
        <v>1</v>
      </c>
      <c r="E23" s="70" t="s">
        <v>20</v>
      </c>
    </row>
    <row r="24" spans="1:5" ht="13.5" thickTop="1">
      <c r="A24" s="31" t="s">
        <v>38</v>
      </c>
      <c r="B24" s="136"/>
      <c r="C24" s="78">
        <v>0.84</v>
      </c>
      <c r="E24" s="70" t="s">
        <v>18</v>
      </c>
    </row>
    <row r="25" spans="1:5" ht="12.75">
      <c r="A25" s="31" t="s">
        <v>39</v>
      </c>
      <c r="B25" s="31"/>
      <c r="C25" s="62">
        <v>0.92</v>
      </c>
      <c r="E25" s="70" t="s">
        <v>17</v>
      </c>
    </row>
    <row r="26" ht="12.75"/>
    <row r="27" spans="1:2" ht="12.75">
      <c r="A27" s="30" t="s">
        <v>21</v>
      </c>
      <c r="B27" s="30"/>
    </row>
    <row r="28" spans="1:4" ht="13.5" thickBot="1">
      <c r="A28" s="149"/>
      <c r="B28" s="150"/>
      <c r="C28" s="151" t="s">
        <v>49</v>
      </c>
      <c r="D28" s="152" t="s">
        <v>50</v>
      </c>
    </row>
    <row r="29" spans="1:4" ht="13.5" thickTop="1">
      <c r="A29" s="153" t="s">
        <v>51</v>
      </c>
      <c r="B29" s="154"/>
      <c r="C29" s="84">
        <v>60</v>
      </c>
      <c r="D29" s="84">
        <v>130</v>
      </c>
    </row>
    <row r="30" spans="1:4" ht="33.75">
      <c r="A30" s="155" t="s">
        <v>52</v>
      </c>
      <c r="B30" s="155"/>
      <c r="C30" s="83">
        <v>60</v>
      </c>
      <c r="D30" s="83">
        <v>220</v>
      </c>
    </row>
    <row r="31" spans="1:4" ht="22.5">
      <c r="A31" s="149" t="s">
        <v>23</v>
      </c>
      <c r="B31" s="149"/>
      <c r="C31" s="85">
        <v>0.95</v>
      </c>
      <c r="D31" s="85">
        <f>1-C31</f>
        <v>0.050000000000000044</v>
      </c>
    </row>
    <row r="32" ht="12.75"/>
    <row r="33" ht="12.75"/>
  </sheetData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Mills</dc:creator>
  <cp:keywords/>
  <dc:description/>
  <cp:lastModifiedBy>Evan Mills</cp:lastModifiedBy>
  <dcterms:created xsi:type="dcterms:W3CDTF">2004-06-19T03:28:52Z</dcterms:created>
  <dcterms:modified xsi:type="dcterms:W3CDTF">2005-06-08T23:08:50Z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