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mherr\Transferred Files\ANCIS Files\Clients\LBNL\3 - IT Tool + Manuals\2019-2023 work\"/>
    </mc:Choice>
  </mc:AlternateContent>
  <xr:revisionPtr revIDLastSave="0" documentId="13_ncr:1_{561C202D-75FC-4D11-83E5-99F0F8C654E3}" xr6:coauthVersionLast="47" xr6:coauthVersionMax="47" xr10:uidLastSave="{00000000-0000-0000-0000-000000000000}"/>
  <workbookProtection workbookAlgorithmName="SHA-512" workbookHashValue="FcXZmhWsVnh/RVnpUi/+F1qjsZa+F9P7oBsKCQHiZXKgu9xTO8ENb9qt6FP6l2nJ6um1bTRO1MBSDv5c03tjXg==" workbookSaltValue="PkF/w0Y4g4GTrlS/gZLgHw==" workbookSpinCount="100000" lockStructure="1"/>
  <bookViews>
    <workbookView xWindow="-120" yWindow="-120" windowWidth="51840" windowHeight="21120" xr2:uid="{FF3CE51A-5C5A-4539-8E4B-1600559C1EE3}"/>
  </bookViews>
  <sheets>
    <sheet name="Overview" sheetId="1" r:id="rId1"/>
    <sheet name="Inventory" sheetId="2" r:id="rId2"/>
    <sheet name="Class 1" sheetId="3" r:id="rId3"/>
    <sheet name="Class 2" sheetId="10" r:id="rId4"/>
    <sheet name="Class 3" sheetId="11" r:id="rId5"/>
    <sheet name="Class 4" sheetId="12" r:id="rId6"/>
    <sheet name="Questions" sheetId="7" r:id="rId7"/>
    <sheet name="Num Results" sheetId="8" r:id="rId8"/>
    <sheet name="Recommendations" sheetId="9" r:id="rId9"/>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8" i="8" l="1"/>
  <c r="D26" i="9"/>
  <c r="D27" i="9"/>
  <c r="D30" i="9"/>
  <c r="D28" i="9"/>
  <c r="D29" i="9"/>
  <c r="D25" i="9"/>
  <c r="D24" i="9"/>
  <c r="X10" i="8"/>
  <c r="J19" i="8" s="1"/>
  <c r="C32" i="12"/>
  <c r="C31" i="12"/>
  <c r="C32" i="11"/>
  <c r="C31" i="11"/>
  <c r="C32" i="10"/>
  <c r="C31" i="10"/>
  <c r="C32" i="3"/>
  <c r="C31" i="3"/>
  <c r="H17" i="12" l="1"/>
  <c r="H17" i="11"/>
  <c r="H17" i="10"/>
  <c r="H17" i="3"/>
  <c r="G17" i="12"/>
  <c r="G17" i="11"/>
  <c r="G17" i="10"/>
  <c r="G17" i="3"/>
  <c r="L16" i="12" l="1"/>
  <c r="L17" i="12"/>
  <c r="L18" i="12"/>
  <c r="L16" i="11"/>
  <c r="L17" i="11"/>
  <c r="L18" i="11"/>
  <c r="L16" i="10"/>
  <c r="L17" i="10"/>
  <c r="L18" i="10"/>
  <c r="L16" i="3"/>
  <c r="L17" i="3"/>
  <c r="L18" i="3"/>
  <c r="L15" i="12"/>
  <c r="L15" i="11"/>
  <c r="L15" i="10"/>
  <c r="L15" i="3"/>
  <c r="L12" i="12"/>
  <c r="L12" i="11"/>
  <c r="L12" i="10"/>
  <c r="L12" i="3"/>
  <c r="L11" i="12"/>
  <c r="L11" i="11"/>
  <c r="L11" i="10"/>
  <c r="L11" i="3"/>
  <c r="I15" i="12" l="1"/>
  <c r="I16" i="12"/>
  <c r="I17" i="12"/>
  <c r="I18" i="12"/>
  <c r="I11" i="12"/>
  <c r="I11" i="11"/>
  <c r="I15" i="11"/>
  <c r="I16" i="11"/>
  <c r="I17" i="11"/>
  <c r="I18" i="11"/>
  <c r="I11" i="10"/>
  <c r="I15" i="10"/>
  <c r="I16" i="10"/>
  <c r="I17" i="10"/>
  <c r="I18" i="10"/>
  <c r="I11" i="3"/>
  <c r="I18" i="3"/>
  <c r="I15" i="3"/>
  <c r="I16" i="3"/>
  <c r="I17" i="3"/>
  <c r="E12" i="3"/>
  <c r="E13" i="3"/>
  <c r="E14" i="3"/>
  <c r="E15" i="3"/>
  <c r="E16" i="3"/>
  <c r="E17" i="3"/>
  <c r="E18" i="3"/>
  <c r="E13" i="10"/>
  <c r="E15" i="10"/>
  <c r="E16" i="10"/>
  <c r="E17" i="10"/>
  <c r="E18" i="10"/>
  <c r="E12" i="10"/>
  <c r="E16" i="11"/>
  <c r="E17" i="11"/>
  <c r="E18" i="11"/>
  <c r="E15" i="11"/>
  <c r="E13" i="11"/>
  <c r="E12" i="11"/>
  <c r="E13" i="12"/>
  <c r="E12" i="12"/>
  <c r="E16" i="12"/>
  <c r="E17" i="12"/>
  <c r="E18" i="12"/>
  <c r="E15" i="12"/>
  <c r="C30" i="3" l="1"/>
  <c r="C29" i="3"/>
  <c r="C30" i="12"/>
  <c r="C30" i="11"/>
  <c r="C30" i="10"/>
  <c r="H13" i="12" l="1"/>
  <c r="H13" i="11"/>
  <c r="H13" i="10"/>
  <c r="H13" i="3"/>
  <c r="G13" i="12"/>
  <c r="G13" i="11"/>
  <c r="G13" i="10"/>
  <c r="G13" i="3"/>
  <c r="L13" i="12" l="1"/>
  <c r="I13" i="12"/>
  <c r="L13" i="11"/>
  <c r="I13" i="11"/>
  <c r="L13" i="10"/>
  <c r="I13" i="10"/>
  <c r="L13" i="3"/>
  <c r="I13" i="3"/>
  <c r="N12" i="12"/>
  <c r="N12" i="11"/>
  <c r="N12" i="10"/>
  <c r="N12" i="3"/>
  <c r="N13" i="3"/>
  <c r="T18" i="2" l="1"/>
  <c r="W18" i="2" s="1"/>
  <c r="T19" i="2"/>
  <c r="W19" i="2" s="1"/>
  <c r="T21" i="2"/>
  <c r="W21" i="2" s="1"/>
  <c r="T22" i="2"/>
  <c r="W22" i="2" s="1"/>
  <c r="T23" i="2"/>
  <c r="W23" i="2" s="1"/>
  <c r="T24" i="2"/>
  <c r="W24" i="2" s="1"/>
  <c r="T26" i="2"/>
  <c r="W26" i="2" s="1"/>
  <c r="T27" i="2"/>
  <c r="W27" i="2" s="1"/>
  <c r="T28" i="2"/>
  <c r="W28" i="2" s="1"/>
  <c r="T29" i="2"/>
  <c r="W29" i="2" s="1"/>
  <c r="T30" i="2"/>
  <c r="W30" i="2" s="1"/>
  <c r="T31" i="2"/>
  <c r="W31" i="2" s="1"/>
  <c r="T32" i="2"/>
  <c r="W32" i="2" s="1"/>
  <c r="T33" i="2"/>
  <c r="W33" i="2" s="1"/>
  <c r="T34" i="2"/>
  <c r="W34" i="2" s="1"/>
  <c r="T35" i="2"/>
  <c r="W35" i="2" s="1"/>
  <c r="T36" i="2"/>
  <c r="W36" i="2" s="1"/>
  <c r="T37" i="2"/>
  <c r="W37" i="2" s="1"/>
  <c r="T38" i="2"/>
  <c r="W38" i="2" s="1"/>
  <c r="T39" i="2"/>
  <c r="W39" i="2" s="1"/>
  <c r="T40" i="2"/>
  <c r="W40" i="2" s="1"/>
  <c r="T41" i="2"/>
  <c r="W41" i="2" s="1"/>
  <c r="T42" i="2"/>
  <c r="W42" i="2" s="1"/>
  <c r="T43" i="2"/>
  <c r="W43" i="2" s="1"/>
  <c r="T44" i="2"/>
  <c r="W44" i="2" s="1"/>
  <c r="T45" i="2"/>
  <c r="W45" i="2" s="1"/>
  <c r="T46" i="2"/>
  <c r="W46" i="2" s="1"/>
  <c r="T47" i="2"/>
  <c r="W47" i="2" s="1"/>
  <c r="T48" i="2"/>
  <c r="W48" i="2" s="1"/>
  <c r="T49" i="2"/>
  <c r="W49" i="2" s="1"/>
  <c r="T50" i="2"/>
  <c r="W50" i="2" s="1"/>
  <c r="T51" i="2"/>
  <c r="W51" i="2" s="1"/>
  <c r="T52" i="2"/>
  <c r="W52" i="2" s="1"/>
  <c r="T53" i="2"/>
  <c r="W53" i="2" s="1"/>
  <c r="T54" i="2"/>
  <c r="W54" i="2" s="1"/>
  <c r="T55" i="2"/>
  <c r="W55" i="2" s="1"/>
  <c r="T56" i="2"/>
  <c r="W56" i="2" s="1"/>
  <c r="T57" i="2"/>
  <c r="W57" i="2" s="1"/>
  <c r="T58" i="2"/>
  <c r="W58" i="2" s="1"/>
  <c r="T59" i="2"/>
  <c r="W59" i="2" s="1"/>
  <c r="U11" i="2" l="1"/>
  <c r="U12"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10" i="2"/>
  <c r="S11" i="2"/>
  <c r="S12" i="2"/>
  <c r="S13" i="2"/>
  <c r="S14" i="2"/>
  <c r="S15" i="2"/>
  <c r="S16" i="2"/>
  <c r="S17" i="2"/>
  <c r="S18" i="2"/>
  <c r="V18" i="2" s="1"/>
  <c r="S19" i="2"/>
  <c r="V19" i="2" s="1"/>
  <c r="S20" i="2"/>
  <c r="S21" i="2"/>
  <c r="V21" i="2" s="1"/>
  <c r="S22" i="2"/>
  <c r="V22" i="2" s="1"/>
  <c r="S23" i="2"/>
  <c r="V23" i="2" s="1"/>
  <c r="S24" i="2"/>
  <c r="V24" i="2" s="1"/>
  <c r="S25" i="2"/>
  <c r="S26" i="2"/>
  <c r="V26" i="2" s="1"/>
  <c r="S27" i="2"/>
  <c r="V27" i="2" s="1"/>
  <c r="S28" i="2"/>
  <c r="V28" i="2" s="1"/>
  <c r="S29" i="2"/>
  <c r="V29" i="2" s="1"/>
  <c r="S30" i="2"/>
  <c r="V30" i="2" s="1"/>
  <c r="S31" i="2"/>
  <c r="V31" i="2" s="1"/>
  <c r="S32" i="2"/>
  <c r="V32" i="2" s="1"/>
  <c r="S33" i="2"/>
  <c r="V33" i="2" s="1"/>
  <c r="S34" i="2"/>
  <c r="V34" i="2" s="1"/>
  <c r="S35" i="2"/>
  <c r="V35" i="2" s="1"/>
  <c r="S36" i="2"/>
  <c r="V36" i="2" s="1"/>
  <c r="S37" i="2"/>
  <c r="V37" i="2" s="1"/>
  <c r="S38" i="2"/>
  <c r="V38" i="2" s="1"/>
  <c r="S39" i="2"/>
  <c r="V39" i="2" s="1"/>
  <c r="S40" i="2"/>
  <c r="V40" i="2" s="1"/>
  <c r="S41" i="2"/>
  <c r="V41" i="2" s="1"/>
  <c r="S42" i="2"/>
  <c r="V42" i="2" s="1"/>
  <c r="S43" i="2"/>
  <c r="V43" i="2" s="1"/>
  <c r="S44" i="2"/>
  <c r="V44" i="2" s="1"/>
  <c r="S45" i="2"/>
  <c r="V45" i="2" s="1"/>
  <c r="S46" i="2"/>
  <c r="V46" i="2" s="1"/>
  <c r="S47" i="2"/>
  <c r="V47" i="2" s="1"/>
  <c r="S48" i="2"/>
  <c r="V48" i="2" s="1"/>
  <c r="S49" i="2"/>
  <c r="V49" i="2" s="1"/>
  <c r="S50" i="2"/>
  <c r="V50" i="2" s="1"/>
  <c r="S51" i="2"/>
  <c r="V51" i="2" s="1"/>
  <c r="S52" i="2"/>
  <c r="V52" i="2" s="1"/>
  <c r="S53" i="2"/>
  <c r="V53" i="2" s="1"/>
  <c r="S54" i="2"/>
  <c r="V54" i="2" s="1"/>
  <c r="S55" i="2"/>
  <c r="V55" i="2" s="1"/>
  <c r="S56" i="2"/>
  <c r="V56" i="2" s="1"/>
  <c r="S57" i="2"/>
  <c r="V57" i="2" s="1"/>
  <c r="S58" i="2"/>
  <c r="V58" i="2" s="1"/>
  <c r="S59" i="2"/>
  <c r="V59" i="2" s="1"/>
  <c r="S10" i="2"/>
  <c r="T25" i="2" l="1"/>
  <c r="W25" i="2" s="1"/>
  <c r="T12" i="2"/>
  <c r="W12" i="2" s="1"/>
  <c r="T15" i="2"/>
  <c r="W15" i="2" s="1"/>
  <c r="T17" i="2"/>
  <c r="W17" i="2" s="1"/>
  <c r="T20" i="2"/>
  <c r="W20" i="2" s="1"/>
  <c r="T16" i="2"/>
  <c r="W16" i="2" s="1"/>
  <c r="T13" i="2"/>
  <c r="W13" i="2" s="1"/>
  <c r="T11" i="2"/>
  <c r="W11" i="2" s="1"/>
  <c r="T14" i="2"/>
  <c r="W14" i="2" s="1"/>
  <c r="T10" i="2"/>
  <c r="W10" i="2" s="1"/>
  <c r="V25" i="2" l="1"/>
  <c r="V10" i="2"/>
  <c r="V11" i="2"/>
  <c r="V12" i="2"/>
  <c r="V20" i="2"/>
  <c r="V13" i="2"/>
  <c r="V15" i="2"/>
  <c r="V17" i="2"/>
  <c r="V16" i="2"/>
  <c r="V14" i="2"/>
  <c r="N15" i="11" l="1"/>
  <c r="N15" i="3"/>
  <c r="N16" i="11"/>
  <c r="N16" i="10"/>
  <c r="N16" i="3"/>
  <c r="N16" i="12" l="1"/>
  <c r="N15" i="12"/>
  <c r="N18" i="3" l="1"/>
  <c r="Q17" i="12" l="1"/>
  <c r="Q15" i="12"/>
  <c r="Q17" i="11"/>
  <c r="Q15" i="11"/>
  <c r="Q15" i="10"/>
  <c r="Q17" i="10"/>
  <c r="Q15" i="3"/>
  <c r="F12" i="3" s="1"/>
  <c r="Q17" i="3"/>
  <c r="J15" i="3" s="1"/>
  <c r="J15" i="10" l="1"/>
  <c r="J16" i="10"/>
  <c r="C33" i="10"/>
  <c r="F12" i="10"/>
  <c r="C33" i="11"/>
  <c r="F12" i="11"/>
  <c r="J15" i="11"/>
  <c r="J16" i="11"/>
  <c r="C35" i="11"/>
  <c r="F12" i="12"/>
  <c r="C33" i="12"/>
  <c r="J16" i="12"/>
  <c r="J15" i="12"/>
  <c r="J16" i="3"/>
  <c r="J18" i="3"/>
  <c r="O21" i="12" l="1"/>
  <c r="O21" i="11"/>
  <c r="O21" i="10"/>
  <c r="D19" i="12"/>
  <c r="N18" i="12"/>
  <c r="F18" i="12"/>
  <c r="R17" i="12"/>
  <c r="N17" i="12"/>
  <c r="J17" i="12"/>
  <c r="F16" i="12"/>
  <c r="C36" i="12" s="1"/>
  <c r="R15" i="12"/>
  <c r="F15" i="12"/>
  <c r="C34" i="12" s="1"/>
  <c r="N13" i="12"/>
  <c r="N11" i="12"/>
  <c r="F13" i="11"/>
  <c r="J13" i="11" s="1"/>
  <c r="D19" i="11"/>
  <c r="N18" i="11"/>
  <c r="J18" i="11"/>
  <c r="F18" i="11"/>
  <c r="R17" i="11"/>
  <c r="N17" i="11"/>
  <c r="R15" i="11"/>
  <c r="F15" i="11"/>
  <c r="C34" i="11" s="1"/>
  <c r="N13" i="11"/>
  <c r="N11" i="11"/>
  <c r="J11" i="11"/>
  <c r="D19" i="10"/>
  <c r="N18" i="10"/>
  <c r="F18" i="10"/>
  <c r="R17" i="10"/>
  <c r="N17" i="10"/>
  <c r="F16" i="10"/>
  <c r="C36" i="10" s="1"/>
  <c r="R15" i="10"/>
  <c r="F15" i="10"/>
  <c r="C34" i="10" s="1"/>
  <c r="N13" i="10"/>
  <c r="F13" i="10"/>
  <c r="J13" i="10" s="1"/>
  <c r="N11" i="10"/>
  <c r="J11" i="10"/>
  <c r="C35" i="12" l="1"/>
  <c r="C37" i="11"/>
  <c r="C19" i="11"/>
  <c r="C29" i="11"/>
  <c r="C19" i="10"/>
  <c r="C29" i="10"/>
  <c r="J18" i="12"/>
  <c r="C37" i="12" s="1"/>
  <c r="F13" i="12"/>
  <c r="J13" i="12" s="1"/>
  <c r="C19" i="12"/>
  <c r="C29" i="12"/>
  <c r="F17" i="11"/>
  <c r="J18" i="10"/>
  <c r="C37" i="10" s="1"/>
  <c r="F17" i="10"/>
  <c r="O20" i="12"/>
  <c r="O20" i="11"/>
  <c r="O20" i="10"/>
  <c r="J11" i="12"/>
  <c r="C26" i="12" s="1"/>
  <c r="F17" i="12"/>
  <c r="J17" i="11"/>
  <c r="F16" i="11"/>
  <c r="C36" i="11" s="1"/>
  <c r="C26" i="11"/>
  <c r="J17" i="10"/>
  <c r="C26" i="10"/>
  <c r="E19" i="11" l="1"/>
  <c r="F19" i="11" s="1"/>
  <c r="E19" i="10"/>
  <c r="F19" i="10" s="1"/>
  <c r="E19" i="12"/>
  <c r="F19" i="12" s="1"/>
  <c r="N11" i="3"/>
  <c r="N17" i="3"/>
  <c r="O21" i="3"/>
  <c r="L21" i="11" l="1"/>
  <c r="G19" i="11"/>
  <c r="L19" i="11" s="1"/>
  <c r="H19" i="11"/>
  <c r="H19" i="12"/>
  <c r="I19" i="11" l="1"/>
  <c r="J19" i="11" s="1"/>
  <c r="H19" i="10"/>
  <c r="R17" i="3" l="1"/>
  <c r="R15" i="3"/>
  <c r="O20" i="3" l="1"/>
  <c r="F15" i="3"/>
  <c r="C34" i="3" s="1"/>
  <c r="C35" i="3" l="1"/>
  <c r="F16" i="3"/>
  <c r="C36" i="3" s="1"/>
  <c r="C33" i="3" l="1"/>
  <c r="F13" i="3"/>
  <c r="J13" i="3" s="1"/>
  <c r="J11" i="3"/>
  <c r="C26" i="3" s="1"/>
  <c r="F18" i="3" l="1"/>
  <c r="C37" i="3" s="1"/>
  <c r="F17" i="3"/>
  <c r="J17" i="3"/>
  <c r="D19" i="3" l="1"/>
  <c r="H19" i="3" l="1"/>
  <c r="C19" i="3"/>
  <c r="D16" i="9" l="1"/>
  <c r="D14" i="9" l="1"/>
  <c r="D10" i="9"/>
  <c r="D15" i="9"/>
  <c r="D13" i="9"/>
  <c r="D12" i="9"/>
  <c r="D20" i="9"/>
  <c r="D7" i="9" l="1"/>
  <c r="D23" i="9" l="1"/>
  <c r="D22" i="9"/>
  <c r="D21" i="9"/>
  <c r="D19" i="9"/>
  <c r="D18" i="9"/>
  <c r="D17" i="9"/>
  <c r="D11" i="9" l="1"/>
  <c r="D9" i="9"/>
  <c r="D8" i="9"/>
  <c r="P10" i="2" l="1"/>
  <c r="P59" i="2" l="1"/>
  <c r="P58" i="2"/>
  <c r="P57" i="2"/>
  <c r="P56" i="2"/>
  <c r="P55" i="2"/>
  <c r="P54" i="2"/>
  <c r="P53" i="2"/>
  <c r="P52" i="2"/>
  <c r="P51" i="2"/>
  <c r="P50"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L21" i="3" l="1"/>
  <c r="E19" i="3" l="1"/>
  <c r="F19" i="3" s="1"/>
  <c r="AF11" i="2"/>
  <c r="AF12" i="2"/>
  <c r="AF13" i="2"/>
  <c r="AF14" i="2"/>
  <c r="AF15" i="2"/>
  <c r="AF16" i="2"/>
  <c r="AF17" i="2"/>
  <c r="AF18" i="2"/>
  <c r="AF19" i="2"/>
  <c r="AF20" i="2"/>
  <c r="AF21" i="2"/>
  <c r="AF22" i="2"/>
  <c r="AF23" i="2"/>
  <c r="AF24" i="2"/>
  <c r="AF25" i="2"/>
  <c r="AF26" i="2"/>
  <c r="AF27" i="2"/>
  <c r="AF28" i="2"/>
  <c r="AF29" i="2"/>
  <c r="AF30" i="2"/>
  <c r="AF31" i="2"/>
  <c r="AF32" i="2"/>
  <c r="AF33" i="2"/>
  <c r="AF34" i="2"/>
  <c r="AF35" i="2"/>
  <c r="AF36" i="2"/>
  <c r="AF37" i="2"/>
  <c r="AF38" i="2"/>
  <c r="AF39" i="2"/>
  <c r="AF40" i="2"/>
  <c r="AF41" i="2"/>
  <c r="AF42" i="2"/>
  <c r="AF43" i="2"/>
  <c r="AF44" i="2"/>
  <c r="AF45" i="2"/>
  <c r="AF46" i="2"/>
  <c r="AF47" i="2"/>
  <c r="AF48" i="2"/>
  <c r="AF49" i="2"/>
  <c r="AF50" i="2"/>
  <c r="AF51" i="2"/>
  <c r="AF52" i="2"/>
  <c r="AF53" i="2"/>
  <c r="AF54" i="2"/>
  <c r="AF55" i="2"/>
  <c r="AF56" i="2"/>
  <c r="AF57" i="2"/>
  <c r="AF58" i="2"/>
  <c r="AF59" i="2"/>
  <c r="AE11" i="2"/>
  <c r="AE12" i="2"/>
  <c r="AE13" i="2"/>
  <c r="AE14" i="2"/>
  <c r="AE15" i="2"/>
  <c r="AE16" i="2"/>
  <c r="AE17" i="2"/>
  <c r="AE18" i="2"/>
  <c r="AE19" i="2"/>
  <c r="AE20" i="2"/>
  <c r="AE21" i="2"/>
  <c r="AE22" i="2"/>
  <c r="AE23" i="2"/>
  <c r="AE24" i="2"/>
  <c r="AE25" i="2"/>
  <c r="AE26" i="2"/>
  <c r="AE27" i="2"/>
  <c r="AE28" i="2"/>
  <c r="AE29" i="2"/>
  <c r="AE30" i="2"/>
  <c r="AE31" i="2"/>
  <c r="AE32" i="2"/>
  <c r="AE33" i="2"/>
  <c r="AE34" i="2"/>
  <c r="AE35" i="2"/>
  <c r="AE36" i="2"/>
  <c r="AE37" i="2"/>
  <c r="AE38" i="2"/>
  <c r="AE39" i="2"/>
  <c r="AE40" i="2"/>
  <c r="AE41" i="2"/>
  <c r="AE42" i="2"/>
  <c r="AE43" i="2"/>
  <c r="AE44" i="2"/>
  <c r="AE45" i="2"/>
  <c r="AE46" i="2"/>
  <c r="AE47" i="2"/>
  <c r="AE48" i="2"/>
  <c r="AE49" i="2"/>
  <c r="AE50" i="2"/>
  <c r="AE51" i="2"/>
  <c r="AE52" i="2"/>
  <c r="AE53" i="2"/>
  <c r="AE54" i="2"/>
  <c r="AE55" i="2"/>
  <c r="AE56" i="2"/>
  <c r="AE57" i="2"/>
  <c r="AE58" i="2"/>
  <c r="AE59"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D42" i="2"/>
  <c r="AD43" i="2"/>
  <c r="AD44" i="2"/>
  <c r="AD45" i="2"/>
  <c r="AD46" i="2"/>
  <c r="AD47" i="2"/>
  <c r="AD48" i="2"/>
  <c r="AD49" i="2"/>
  <c r="AD50" i="2"/>
  <c r="AD51" i="2"/>
  <c r="AD52" i="2"/>
  <c r="AD53" i="2"/>
  <c r="AD54" i="2"/>
  <c r="AD55" i="2"/>
  <c r="AD56" i="2"/>
  <c r="AD57" i="2"/>
  <c r="AD58" i="2"/>
  <c r="AD59"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3" i="2"/>
  <c r="AB54" i="2"/>
  <c r="AB55" i="2"/>
  <c r="AB56" i="2"/>
  <c r="AB57" i="2"/>
  <c r="AB58" i="2"/>
  <c r="AB59"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AA59" i="2"/>
  <c r="Z11" i="2"/>
  <c r="Z12" i="2"/>
  <c r="Z13" i="2"/>
  <c r="Z14" i="2"/>
  <c r="Z15" i="2"/>
  <c r="Z16" i="2"/>
  <c r="Z17" i="2"/>
  <c r="Z18" i="2"/>
  <c r="Z19" i="2"/>
  <c r="Z20" i="2"/>
  <c r="Z21" i="2"/>
  <c r="Z22" i="2"/>
  <c r="Z23" i="2"/>
  <c r="Z24" i="2"/>
  <c r="Z25" i="2"/>
  <c r="Z26" i="2"/>
  <c r="Z27" i="2"/>
  <c r="Z28" i="2"/>
  <c r="Z29" i="2"/>
  <c r="Z30" i="2"/>
  <c r="Z31" i="2"/>
  <c r="Z32" i="2"/>
  <c r="Z33" i="2"/>
  <c r="Z34" i="2"/>
  <c r="Z35" i="2"/>
  <c r="Z36" i="2"/>
  <c r="Z37" i="2"/>
  <c r="Z38" i="2"/>
  <c r="Z39" i="2"/>
  <c r="Z40" i="2"/>
  <c r="Z41" i="2"/>
  <c r="Z42" i="2"/>
  <c r="Z43" i="2"/>
  <c r="Z44" i="2"/>
  <c r="Z45" i="2"/>
  <c r="Z46" i="2"/>
  <c r="Z47" i="2"/>
  <c r="Z48" i="2"/>
  <c r="Z49" i="2"/>
  <c r="Z50" i="2"/>
  <c r="Z51" i="2"/>
  <c r="Z52" i="2"/>
  <c r="Z53" i="2"/>
  <c r="Z54" i="2"/>
  <c r="Z55" i="2"/>
  <c r="Z56" i="2"/>
  <c r="Z57" i="2"/>
  <c r="Z58" i="2"/>
  <c r="Z59"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Y42" i="2"/>
  <c r="Y43" i="2"/>
  <c r="Y44" i="2"/>
  <c r="Y45" i="2"/>
  <c r="Y46" i="2"/>
  <c r="Y47" i="2"/>
  <c r="Y48" i="2"/>
  <c r="Y49" i="2"/>
  <c r="Y50" i="2"/>
  <c r="Y51" i="2"/>
  <c r="Y52" i="2"/>
  <c r="Y53" i="2"/>
  <c r="Y54" i="2"/>
  <c r="Y55" i="2"/>
  <c r="Y56" i="2"/>
  <c r="Y57" i="2"/>
  <c r="Y58" i="2"/>
  <c r="Y59" i="2"/>
  <c r="AF10" i="2"/>
  <c r="AE10" i="2"/>
  <c r="AD10" i="2"/>
  <c r="AC10" i="2"/>
  <c r="AB10" i="2"/>
  <c r="AA10" i="2"/>
  <c r="Z10" i="2"/>
  <c r="Y10" i="2"/>
  <c r="AF60" i="2" l="1"/>
  <c r="C35" i="2" s="1"/>
  <c r="AD60" i="2"/>
  <c r="C33" i="2" s="1"/>
  <c r="C28" i="10" s="1"/>
  <c r="AE60" i="2"/>
  <c r="C34" i="2" s="1"/>
  <c r="C28" i="11" s="1"/>
  <c r="AC60" i="2"/>
  <c r="AA60" i="2"/>
  <c r="B34" i="2" s="1"/>
  <c r="C27" i="11" s="1"/>
  <c r="AB60" i="2"/>
  <c r="B35" i="2" s="1"/>
  <c r="Z60" i="2"/>
  <c r="B33" i="2" s="1"/>
  <c r="C27" i="10" s="1"/>
  <c r="Y60" i="2"/>
  <c r="B32" i="2" s="1"/>
  <c r="D21" i="12" l="1"/>
  <c r="C28" i="12"/>
  <c r="C21" i="3"/>
  <c r="C27" i="3"/>
  <c r="C21" i="12"/>
  <c r="C27" i="12"/>
  <c r="C21" i="11"/>
  <c r="D21" i="11"/>
  <c r="D21" i="10"/>
  <c r="C21" i="10"/>
  <c r="D33" i="2"/>
  <c r="D35" i="2"/>
  <c r="C32" i="2"/>
  <c r="C28" i="3" s="1"/>
  <c r="D34" i="2"/>
  <c r="B36" i="2"/>
  <c r="K23" i="12" l="1"/>
  <c r="K23" i="11"/>
  <c r="K23" i="3"/>
  <c r="D21" i="3"/>
  <c r="D32" i="2"/>
  <c r="C36" i="2"/>
  <c r="D36" i="2" s="1"/>
  <c r="E7" i="8" s="1"/>
  <c r="G19" i="3"/>
  <c r="B39" i="2" l="1"/>
  <c r="L19" i="3"/>
  <c r="I19" i="3"/>
  <c r="J19" i="3" s="1"/>
  <c r="G19" i="12"/>
  <c r="I19" i="12" l="1"/>
  <c r="J19" i="12" s="1"/>
  <c r="L19" i="12"/>
  <c r="L21" i="12"/>
  <c r="C35" i="10"/>
  <c r="L21" i="10"/>
  <c r="G19" i="10" l="1"/>
  <c r="N15" i="10"/>
  <c r="K23" i="10" s="1"/>
  <c r="E8" i="8" l="1"/>
  <c r="L19" i="10"/>
  <c r="E11" i="8" s="1"/>
  <c r="I19" i="10"/>
  <c r="J19" i="10" s="1"/>
  <c r="E23" i="8" l="1"/>
  <c r="E30" i="8"/>
  <c r="E13" i="8"/>
  <c r="E15" i="8" s="1"/>
  <c r="E17" i="8" l="1"/>
  <c r="E21" i="8" s="1"/>
  <c r="E19" i="8"/>
</calcChain>
</file>

<file path=xl/sharedStrings.xml><?xml version="1.0" encoding="utf-8"?>
<sst xmlns="http://schemas.openxmlformats.org/spreadsheetml/2006/main" count="522" uniqueCount="261">
  <si>
    <t>OVERVIEW</t>
  </si>
  <si>
    <t>Description</t>
  </si>
  <si>
    <t>What does this Tool do?</t>
  </si>
  <si>
    <t>Overview</t>
  </si>
  <si>
    <t>How is the Tool used?</t>
  </si>
  <si>
    <t>Tool suite</t>
  </si>
  <si>
    <t>Questions, comments, and/or suggestions?</t>
  </si>
  <si>
    <t>This tool was developed by Lawrence Berkeley National Laboratory (LBNL) for the US Department of Energy (DOE)</t>
  </si>
  <si>
    <t>Inventory</t>
  </si>
  <si>
    <t>Class</t>
  </si>
  <si>
    <t>Questions</t>
  </si>
  <si>
    <t>Recommendations</t>
  </si>
  <si>
    <r>
      <t>First, the user fills in data and answers questions on up to six i</t>
    </r>
    <r>
      <rPr>
        <sz val="11"/>
        <color indexed="8"/>
        <rFont val="Calibri"/>
        <family val="2"/>
      </rPr>
      <t>nput</t>
    </r>
    <r>
      <rPr>
        <sz val="11"/>
        <color theme="1"/>
        <rFont val="Calibri"/>
        <family val="2"/>
        <scheme val="minor"/>
      </rPr>
      <t xml:space="preserve"> screens. Each</t>
    </r>
  </si>
  <si>
    <t xml:space="preserve">screen includes basic guidance for entering the data correctly. Second, based on this user  </t>
  </si>
  <si>
    <t>This IT Equipment Tool is part of a tool suite, which includes  HVAC, electrical, and IT tools.</t>
  </si>
  <si>
    <t>input, numerical output and recommended actions are given on  two result output screens.</t>
  </si>
  <si>
    <t xml:space="preserve">level will have an impact on essentially all energy use in data centers. Based on user input, </t>
  </si>
  <si>
    <t xml:space="preserve"> </t>
  </si>
  <si>
    <t xml:space="preserve">this Tool estimates overall  energy savings by a number of saving measures. It is designed to  </t>
  </si>
  <si>
    <t>help identify areas for energy savings improvements.</t>
  </si>
  <si>
    <t>Class 1</t>
  </si>
  <si>
    <t>#</t>
  </si>
  <si>
    <t>Actual</t>
  </si>
  <si>
    <t>Max</t>
  </si>
  <si>
    <t>Power</t>
  </si>
  <si>
    <t>Power [W]</t>
  </si>
  <si>
    <t>Class 3</t>
  </si>
  <si>
    <t>Class 4</t>
  </si>
  <si>
    <t>Class 2</t>
  </si>
  <si>
    <t>A</t>
  </si>
  <si>
    <t>B</t>
  </si>
  <si>
    <t>C</t>
  </si>
  <si>
    <t>D</t>
  </si>
  <si>
    <t>E</t>
  </si>
  <si>
    <t>F</t>
  </si>
  <si>
    <t>G</t>
  </si>
  <si>
    <t>H</t>
  </si>
  <si>
    <t>Sum</t>
  </si>
  <si>
    <t xml:space="preserve">Max </t>
  </si>
  <si>
    <t>Util [%]</t>
  </si>
  <si>
    <t>C1</t>
  </si>
  <si>
    <t>C2</t>
  </si>
  <si>
    <t>C3</t>
  </si>
  <si>
    <t>C4</t>
  </si>
  <si>
    <t>Adding</t>
  </si>
  <si>
    <t>Removing</t>
  </si>
  <si>
    <t>Replacing</t>
  </si>
  <si>
    <t>Modifying</t>
  </si>
  <si>
    <t>Consolidating</t>
  </si>
  <si>
    <t>Clouding</t>
  </si>
  <si>
    <t>Unchanged</t>
  </si>
  <si>
    <t>Current</t>
  </si>
  <si>
    <t>Target</t>
  </si>
  <si>
    <t>Util. [%]</t>
  </si>
  <si>
    <t>Save [W]</t>
  </si>
  <si>
    <t>Total</t>
  </si>
  <si>
    <t>Yes</t>
  </si>
  <si>
    <t>Include this form? If Yes, IT Tool will check for Errors.</t>
  </si>
  <si>
    <t>Question</t>
  </si>
  <si>
    <t>Power Utilization</t>
  </si>
  <si>
    <t>%</t>
  </si>
  <si>
    <t>IT Power Savings</t>
  </si>
  <si>
    <t>W</t>
  </si>
  <si>
    <t>Infrastructure Power Savings</t>
  </si>
  <si>
    <t>PUE</t>
  </si>
  <si>
    <t>Total Energy Savings</t>
  </si>
  <si>
    <t>$/year</t>
  </si>
  <si>
    <t>Energy Price</t>
  </si>
  <si>
    <t>$/kWh</t>
  </si>
  <si>
    <t>Emission Rate</t>
  </si>
  <si>
    <t>lbs/kWh</t>
  </si>
  <si>
    <t>lbs/year</t>
  </si>
  <si>
    <t>Total Energy Cost Savings</t>
  </si>
  <si>
    <t>Total Carbon Savings</t>
  </si>
  <si>
    <t>Yes/No</t>
  </si>
  <si>
    <t>Recommendation</t>
  </si>
  <si>
    <t>No</t>
  </si>
  <si>
    <t>Are you keeping an IT equipment inventory?</t>
  </si>
  <si>
    <t>Do you track IT asset utilization?</t>
  </si>
  <si>
    <t>kWh/year</t>
  </si>
  <si>
    <t>Type</t>
  </si>
  <si>
    <t>This screen allows the user to answer a number of IT equipment assessment questions.</t>
  </si>
  <si>
    <t>Do you require Energy Star certification on purchase of new IT equipment?</t>
  </si>
  <si>
    <t>Do you have tools and processes for assessing IT asset utilization?</t>
  </si>
  <si>
    <t>Do you have a clear decommissioning process for IT equipment?</t>
  </si>
  <si>
    <t>Have you considered the impact of your public cloud providers in your energy and carbon estimates?</t>
  </si>
  <si>
    <t>Are power management features enabled in IT equipment that is in service?</t>
  </si>
  <si>
    <t>Have you established an Energy Activity Policy?</t>
  </si>
  <si>
    <t>Does the IT Provisioning Policy include energy-related rules and conditions?</t>
  </si>
  <si>
    <t>This screen shows the calculated results in the white boxes and "scalers" in the yellow input</t>
  </si>
  <si>
    <t xml:space="preserve">IT equipment is at the core of energy consumption in data centers. Energy savings at the IT </t>
  </si>
  <si>
    <t>IT Equip</t>
  </si>
  <si>
    <t>Screen (tab)</t>
  </si>
  <si>
    <t xml:space="preserve">Are you able to observe utilization of virtual assets?                                      </t>
  </si>
  <si>
    <t>A "No" answer will result in a recommendation on the Recommendations screen (tab).</t>
  </si>
  <si>
    <t xml:space="preserve">This screen shows recommendations based on user responses on the Questions screen </t>
  </si>
  <si>
    <t>Have you defined “Critical Values” (hot-button issues that are top-of-mind of executives) for the IT project?</t>
  </si>
  <si>
    <t>Have you identified the organizational stakeholders for the IT project?</t>
  </si>
  <si>
    <t>Is there an Information Technology Asset Management (ITAM) system present to monitor IT utilization and status?</t>
  </si>
  <si>
    <t>Are unused or obsolete IT equipment systematically removed from the data center space?</t>
  </si>
  <si>
    <t>Do you have a way of discerning business-application processes from overhead processes?</t>
  </si>
  <si>
    <t>Does the IT equipment refresh plan consider the age of the equipment?</t>
  </si>
  <si>
    <t>Are “80+” power supply units (PSUs) required in equipment procurement? 80+ is a specification for PSU efficiency.</t>
  </si>
  <si>
    <t>Is your method of tracking IT utilization able to produce reports timely to enable Operations to manage inventory?</t>
  </si>
  <si>
    <t>This screen allows the user to create an inventory of the IT equipment, and group</t>
  </si>
  <si>
    <t>intended value.</t>
  </si>
  <si>
    <t>Result output: Provides hands-on recommendations.</t>
  </si>
  <si>
    <t>Result output: Provides calculated numerical results.</t>
  </si>
  <si>
    <t>User input: Questions for crafting hands-on recommendations.</t>
  </si>
  <si>
    <t>User input: Collects Class specific energy savings measures.</t>
  </si>
  <si>
    <t>User input: Collects the IT inventory and assigned Classes.</t>
  </si>
  <si>
    <t>This Sheet: Provides an overview of data flow and screen descriptions.</t>
  </si>
  <si>
    <t>Classes 1-4</t>
  </si>
  <si>
    <t>Numerical Results</t>
  </si>
  <si>
    <t>the equipment into four user-defined Classes.</t>
  </si>
  <si>
    <t>boxes. The latter can be changed by the user to quickly evaluate the impact on the results.</t>
  </si>
  <si>
    <t>Except for the Current Power Utilization result box, all result boxes will be impacted by a Yes</t>
  </si>
  <si>
    <t>(tab). A blank field means that the corresponding question was  answered "Yes".</t>
  </si>
  <si>
    <t>Comp</t>
  </si>
  <si>
    <t>Comp     Util. [%]</t>
  </si>
  <si>
    <t>Factor</t>
  </si>
  <si>
    <t>High</t>
  </si>
  <si>
    <t>Current Power</t>
  </si>
  <si>
    <t>Target Power</t>
  </si>
  <si>
    <t>Performance</t>
  </si>
  <si>
    <t>Mid</t>
  </si>
  <si>
    <t xml:space="preserve">                 </t>
  </si>
  <si>
    <t>ERROR Message #</t>
  </si>
  <si>
    <t>Power Reduction</t>
  </si>
  <si>
    <t>INFO and ERROR Message #</t>
  </si>
  <si>
    <t>E1</t>
  </si>
  <si>
    <t>E2</t>
  </si>
  <si>
    <t>E3</t>
  </si>
  <si>
    <t>E4</t>
  </si>
  <si>
    <t>E5</t>
  </si>
  <si>
    <t>E6</t>
  </si>
  <si>
    <t>E7</t>
  </si>
  <si>
    <t>E8</t>
  </si>
  <si>
    <t>E9</t>
  </si>
  <si>
    <t>E10</t>
  </si>
  <si>
    <t>E11</t>
  </si>
  <si>
    <t>E12</t>
  </si>
  <si>
    <t>E13</t>
  </si>
  <si>
    <t>E14</t>
  </si>
  <si>
    <t>E15</t>
  </si>
  <si>
    <t>E16</t>
  </si>
  <si>
    <t>E17</t>
  </si>
  <si>
    <t xml:space="preserve"> I1</t>
  </si>
  <si>
    <t>conditions and "Target" refers to the conditions after changes.</t>
  </si>
  <si>
    <t>IT inventory (yellow cells) for Class 1. "Current" refers to current</t>
  </si>
  <si>
    <t xml:space="preserve">This screen allows the user to provide a description of changes to  </t>
  </si>
  <si>
    <t xml:space="preserve">    Reserved for future use.</t>
  </si>
  <si>
    <t>IT inventory (yellow cells) for Class 4. "Current" refers to current</t>
  </si>
  <si>
    <t>IT inventory (yellow cells) for Class 3. "Current" refers to current</t>
  </si>
  <si>
    <t>IT inventory (yellow cells) for Class 2. "Current" refers to current</t>
  </si>
  <si>
    <t>Universal</t>
  </si>
  <si>
    <t xml:space="preserve">or No answer (cell I23) on the Class screens (tabs). Please ensure the boxes are set to the  </t>
  </si>
  <si>
    <t>ERROR Messages</t>
  </si>
  <si>
    <t>IF unsure, enter "No".</t>
  </si>
  <si>
    <t>Please contact mkherrlin@lbl.gov</t>
  </si>
  <si>
    <t>Table 3 Total</t>
  </si>
  <si>
    <t>Save Total</t>
  </si>
  <si>
    <t>Power Performance</t>
  </si>
  <si>
    <t>Table 2b: Utilization</t>
  </si>
  <si>
    <t>Table 1: IT Equipment Class Descriptions</t>
  </si>
  <si>
    <t>Table 2a: IT Equipment Inventory</t>
  </si>
  <si>
    <t>Table 3: IT Equipment Inventory by Class and total</t>
  </si>
  <si>
    <t>Table 4: Energy Saving Measures for IT Equipment Class 1</t>
  </si>
  <si>
    <t>Potential Actions</t>
  </si>
  <si>
    <t>Table 5: Energy Saving Measures for IT Equipment Class 2</t>
  </si>
  <si>
    <t>Table 6: Energy Saving Measures for IT Equipment Class 3</t>
  </si>
  <si>
    <t>Table 7: Energy Saving Measures for IT Equipment Class 4</t>
  </si>
  <si>
    <r>
      <rPr>
        <b/>
        <sz val="11"/>
        <color theme="1"/>
        <rFont val="Calibri"/>
        <family val="2"/>
        <scheme val="minor"/>
      </rPr>
      <t>Third</t>
    </r>
    <r>
      <rPr>
        <sz val="11"/>
        <color theme="1"/>
        <rFont val="Calibri"/>
        <family val="2"/>
        <scheme val="minor"/>
      </rPr>
      <t>, the Tool compiles the user input into Tables 2b and 3.</t>
    </r>
  </si>
  <si>
    <t>E18</t>
  </si>
  <si>
    <t>Number</t>
  </si>
  <si>
    <t>of Units</t>
  </si>
  <si>
    <t xml:space="preserve">   ERROR Messages</t>
  </si>
  <si>
    <t>Custom</t>
  </si>
  <si>
    <t>AL</t>
  </si>
  <si>
    <t>AK</t>
  </si>
  <si>
    <t>AZ</t>
  </si>
  <si>
    <t>AR</t>
  </si>
  <si>
    <t>CA</t>
  </si>
  <si>
    <t>CO</t>
  </si>
  <si>
    <t>CT</t>
  </si>
  <si>
    <t>DE</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</si>
  <si>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</si>
  <si>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</si>
  <si>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</si>
  <si>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</si>
  <si>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</si>
  <si>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</si>
  <si>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</si>
  <si>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</si>
  <si>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</si>
  <si>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</si>
  <si>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</si>
  <si>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</si>
  <si>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</si>
  <si>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</si>
  <si>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</si>
  <si>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</si>
  <si>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</si>
  <si>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</si>
  <si>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</si>
  <si>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</si>
  <si>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</si>
  <si>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</si>
  <si>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</si>
  <si>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</si>
  <si>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</si>
  <si>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</si>
  <si>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</si>
  <si>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</si>
  <si>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</si>
  <si>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</si>
  <si>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</si>
  <si>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</si>
  <si>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</si>
  <si>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</si>
  <si>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</si>
  <si>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</si>
  <si>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</si>
  <si>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</si>
  <si>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</si>
  <si>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</si>
  <si>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</si>
  <si>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</si>
  <si>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List Row</t>
  </si>
  <si>
    <t>Is the management system capable to access onboard server sensors for key operational parameters?</t>
  </si>
  <si>
    <t xml:space="preserve">Are you purchasing servers accepting higher than standard intake temperatures? </t>
  </si>
  <si>
    <t>Have you performed a server audit to ensure all servers are still in active use?</t>
  </si>
  <si>
    <t xml:space="preserve">Are all servers less that 4 years old? </t>
  </si>
  <si>
    <t xml:space="preserve">Are all servers utilized above the idling (zombie) state? </t>
  </si>
  <si>
    <t xml:space="preserve">Are all servers utilized above the under-utilized state? </t>
  </si>
  <si>
    <t>Select State/Custom</t>
  </si>
  <si>
    <r>
      <rPr>
        <b/>
        <sz val="11"/>
        <color theme="1"/>
        <rFont val="Calibri"/>
        <family val="2"/>
        <scheme val="minor"/>
      </rPr>
      <t>First</t>
    </r>
    <r>
      <rPr>
        <sz val="11"/>
        <color theme="1"/>
        <rFont val="Calibri"/>
        <family val="2"/>
        <scheme val="minor"/>
      </rPr>
      <t>, provide a description of each "IT Equipment Class" and assign a Power Performance</t>
    </r>
  </si>
  <si>
    <t xml:space="preserve">equipment with similar power draw. Actual and Max Power are per equipment unit. </t>
  </si>
  <si>
    <t>Mixed Servers</t>
  </si>
  <si>
    <r>
      <rPr>
        <b/>
        <sz val="11"/>
        <color theme="1"/>
        <rFont val="Calibri"/>
        <family val="2"/>
        <scheme val="minor"/>
      </rPr>
      <t>Second</t>
    </r>
    <r>
      <rPr>
        <sz val="11"/>
        <color theme="1"/>
        <rFont val="Calibri"/>
        <family val="2"/>
        <scheme val="minor"/>
      </rPr>
      <t xml:space="preserve">, each Class is populated with IT equipment (Table 2a). An "IT Equipment Type" is </t>
    </r>
  </si>
  <si>
    <t xml:space="preserve">level (Table 1). A unique set of energy saving measures will be applied to each Class </t>
  </si>
  <si>
    <t>on the next four screens (tabs).</t>
  </si>
  <si>
    <t>X Servers</t>
  </si>
  <si>
    <t>Y Servers</t>
  </si>
  <si>
    <t>Z Servers</t>
  </si>
  <si>
    <t>Simple Payback</t>
  </si>
  <si>
    <t>years</t>
  </si>
  <si>
    <t>$</t>
  </si>
  <si>
    <t>Cost to Implement</t>
  </si>
  <si>
    <t>IT Power Pre-Implementation</t>
  </si>
  <si>
    <t>IT Power Post-Implementation</t>
  </si>
  <si>
    <t>Data for export to the Electrical (Power Chain) Tool or the Air Management Tool:</t>
  </si>
  <si>
    <t>Currently, the individual tools are designed as "stand-alone" modules. More information</t>
  </si>
  <si>
    <t xml:space="preserve">at http://datacenters.lbl.gov/tools </t>
  </si>
  <si>
    <t>Data Center IT Equipment Assessment Tool, Version 2.5, October 27, 2023</t>
  </si>
  <si>
    <t>Copyright© 2023 The Regents of the University of California, operator of the Lawrence Berkeley National Laboratory.  All Rights Reserved.</t>
  </si>
  <si>
    <t xml:space="preserve">       T&amp;D Losses</t>
  </si>
  <si>
    <t>WUE</t>
  </si>
  <si>
    <t>L/year</t>
  </si>
  <si>
    <t>Water Savings (on-site)</t>
  </si>
  <si>
    <t>L/kWh(IT)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</si>
</sst>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00"/>
    <numFmt numFmtId="166" formatCode="#,##0.0"/>
    <numFmt numFmtId="167" formatCode="0.000"/>
  </numFmts>
  <fonts count="18"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1"/>
      <name val="Calibri"/>
      <family val="2"/>
      <scheme val="minor"/>
    </font>
    <font>
      <sz val="11"/>
      <color indexed="8"/>
      <name val="Calibri"/>
      <family val="2"/>
    </font>
    <font>
      <b/>
      <sz val="11"/>
      <color rgb="FFFF0000"/>
      <name val="Calibri"/>
      <family val="2"/>
      <scheme val="minor"/>
    </font>
    <font>
      <sz val="11"/>
      <color theme="1"/>
      <name val="Calibri"/>
      <family val="2"/>
    </font>
    <font>
      <sz val="12"/>
      <color theme="1"/>
      <name val="Cambria"/>
      <family val="1"/>
    </font>
    <font>
      <sz val="11"/>
      <color theme="0" tint="-0.14999847407452621"/>
      <name val="Calibri"/>
      <family val="2"/>
      <scheme val="minor"/>
    </font>
    <font>
      <b/>
      <sz val="11"/>
      <name val="Calibri"/>
      <family val="2"/>
      <scheme val="minor"/>
    </font>
    <font>
      <sz val="11"/>
      <color theme="0" tint="-4.9989318521683403E-2"/>
      <name val="Calibri"/>
      <family val="2"/>
      <scheme val="minor"/>
    </font>
    <font>
      <b/>
      <sz val="11"/>
      <color theme="0" tint="-0.249977111117893"/>
      <name val="Calibri"/>
      <family val="2"/>
      <scheme val="minor"/>
    </font>
    <font>
      <sz val="11"/>
      <color theme="0" tint="-0.249977111117893"/>
      <name val="Calibri"/>
      <family val="2"/>
      <scheme val="minor"/>
    </font>
    <font>
      <sz val="8"/>
      <color theme="1"/>
      <name val="Calibri"/>
      <family val="2"/>
      <scheme val="minor"/>
    </font>
    <font>
      <b/>
      <sz val="11"/>
      <color theme="0" tint="-0.499984740745262"/>
      <name val="Calibri"/>
      <family val="2"/>
      <scheme val="minor"/>
    </font>
    <font>
      <b/>
      <sz val="11"/>
      <color rgb="FF0000FF"/>
      <name val="Calibri"/>
      <family val="2"/>
      <scheme val="minor"/>
    </font>
  </fonts>
  <fills count="15">
    <fill>
      <patternFill patternType="none"/>
    </fill>
    <fill>
      <patternFill patternType="gray125"/>
    </fill>
    <fill>
      <patternFill patternType="solid">
        <fgColor rgb="FF3366FF"/>
        <bgColor indexed="64"/>
      </patternFill>
    </fill>
    <fill>
      <patternFill patternType="solid">
        <fgColor rgb="FFFF0000"/>
        <bgColor indexed="64"/>
      </patternFill>
    </fill>
    <fill>
      <patternFill patternType="solid">
        <fgColor rgb="FF0070C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0.14996795556505021"/>
        <bgColor indexed="64"/>
      </patternFill>
    </fill>
    <fill>
      <patternFill patternType="solid">
        <fgColor theme="0"/>
        <bgColor indexed="64"/>
      </patternFill>
    </fill>
  </fills>
  <borders count="9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right/>
      <top/>
      <bottom style="thick">
        <color auto="1"/>
      </bottom>
      <diagonal/>
    </border>
    <border>
      <left/>
      <right style="thick">
        <color auto="1"/>
      </right>
      <top/>
      <bottom style="thick">
        <color auto="1"/>
      </bottom>
      <diagonal/>
    </border>
    <border>
      <left style="thick">
        <color auto="1"/>
      </left>
      <right style="medium">
        <color auto="1"/>
      </right>
      <top style="thick">
        <color auto="1"/>
      </top>
      <bottom style="thin">
        <color auto="1"/>
      </bottom>
      <diagonal/>
    </border>
    <border>
      <left/>
      <right style="thin">
        <color auto="1"/>
      </right>
      <top style="thick">
        <color auto="1"/>
      </top>
      <bottom style="thin">
        <color auto="1"/>
      </bottom>
      <diagonal/>
    </border>
    <border>
      <left/>
      <right style="thin">
        <color auto="1"/>
      </right>
      <top style="thin">
        <color auto="1"/>
      </top>
      <bottom style="thin">
        <color auto="1"/>
      </bottom>
      <diagonal/>
    </border>
    <border>
      <left style="thick">
        <color auto="1"/>
      </left>
      <right style="medium">
        <color auto="1"/>
      </right>
      <top style="thin">
        <color auto="1"/>
      </top>
      <bottom style="thin">
        <color auto="1"/>
      </bottom>
      <diagonal/>
    </border>
    <border>
      <left style="medium">
        <color auto="1"/>
      </left>
      <right style="medium">
        <color auto="1"/>
      </right>
      <top/>
      <bottom style="thick">
        <color auto="1"/>
      </bottom>
      <diagonal/>
    </border>
    <border>
      <left style="medium">
        <color auto="1"/>
      </left>
      <right style="thick">
        <color auto="1"/>
      </right>
      <top/>
      <bottom style="thick">
        <color auto="1"/>
      </bottom>
      <diagonal/>
    </border>
    <border>
      <left style="thick">
        <color auto="1"/>
      </left>
      <right style="medium">
        <color auto="1"/>
      </right>
      <top/>
      <bottom style="thick">
        <color auto="1"/>
      </bottom>
      <diagonal/>
    </border>
    <border>
      <left style="medium">
        <color auto="1"/>
      </left>
      <right style="medium">
        <color auto="1"/>
      </right>
      <top style="thick">
        <color auto="1"/>
      </top>
      <bottom/>
      <diagonal/>
    </border>
    <border>
      <left style="medium">
        <color auto="1"/>
      </left>
      <right style="thick">
        <color auto="1"/>
      </right>
      <top style="thick">
        <color auto="1"/>
      </top>
      <bottom/>
      <diagonal/>
    </border>
    <border>
      <left style="thick">
        <color auto="1"/>
      </left>
      <right/>
      <top style="thick">
        <color auto="1"/>
      </top>
      <bottom/>
      <diagonal/>
    </border>
    <border>
      <left style="thick">
        <color auto="1"/>
      </left>
      <right/>
      <top/>
      <bottom style="thick">
        <color auto="1"/>
      </bottom>
      <diagonal/>
    </border>
    <border>
      <left/>
      <right/>
      <top style="thick">
        <color auto="1"/>
      </top>
      <bottom/>
      <diagonal/>
    </border>
    <border>
      <left/>
      <right style="thick">
        <color auto="1"/>
      </right>
      <top style="thick">
        <color auto="1"/>
      </top>
      <bottom/>
      <diagonal/>
    </border>
    <border>
      <left style="thick">
        <color auto="1"/>
      </left>
      <right style="medium">
        <color auto="1"/>
      </right>
      <top style="thick">
        <color auto="1"/>
      </top>
      <bottom/>
      <diagonal/>
    </border>
    <border>
      <left style="medium">
        <color auto="1"/>
      </left>
      <right/>
      <top style="thick">
        <color auto="1"/>
      </top>
      <bottom/>
      <diagonal/>
    </border>
    <border>
      <left style="medium">
        <color auto="1"/>
      </left>
      <right/>
      <top/>
      <bottom style="thick">
        <color auto="1"/>
      </bottom>
      <diagonal/>
    </border>
    <border>
      <left style="medium">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style="medium">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thick">
        <color auto="1"/>
      </left>
      <right style="medium">
        <color auto="1"/>
      </right>
      <top style="thin">
        <color auto="1"/>
      </top>
      <bottom style="thick">
        <color auto="1"/>
      </bottom>
      <diagonal/>
    </border>
    <border>
      <left style="thick">
        <color auto="1"/>
      </left>
      <right style="medium">
        <color auto="1"/>
      </right>
      <top style="medium">
        <color auto="1"/>
      </top>
      <bottom style="thick">
        <color auto="1"/>
      </bottom>
      <diagonal/>
    </border>
    <border>
      <left style="thick">
        <color auto="1"/>
      </left>
      <right style="medium">
        <color auto="1"/>
      </right>
      <top style="thin">
        <color auto="1"/>
      </top>
      <bottom/>
      <diagonal/>
    </border>
    <border>
      <left style="thick">
        <color auto="1"/>
      </left>
      <right style="medium">
        <color auto="1"/>
      </right>
      <top/>
      <bottom style="thin">
        <color auto="1"/>
      </bottom>
      <diagonal/>
    </border>
    <border>
      <left style="medium">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thin">
        <color auto="1"/>
      </left>
      <right style="thick">
        <color auto="1"/>
      </right>
      <top style="medium">
        <color auto="1"/>
      </top>
      <bottom style="thick">
        <color auto="1"/>
      </bottom>
      <diagonal/>
    </border>
    <border>
      <left style="medium">
        <color auto="1"/>
      </left>
      <right style="thin">
        <color auto="1"/>
      </right>
      <top style="thick">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thick">
        <color auto="1"/>
      </bottom>
      <diagonal/>
    </border>
    <border>
      <left style="medium">
        <color auto="1"/>
      </left>
      <right style="medium">
        <color auto="1"/>
      </right>
      <top style="medium">
        <color auto="1"/>
      </top>
      <bottom style="medium">
        <color auto="1"/>
      </bottom>
      <diagonal/>
    </border>
    <border>
      <left style="thick">
        <color auto="1"/>
      </left>
      <right style="medium">
        <color auto="1"/>
      </right>
      <top style="medium">
        <color auto="1"/>
      </top>
      <bottom/>
      <diagonal/>
    </border>
    <border>
      <left style="medium">
        <color auto="1"/>
      </left>
      <right style="medium">
        <color auto="1"/>
      </right>
      <top style="medium">
        <color auto="1"/>
      </top>
      <bottom/>
      <diagonal/>
    </border>
    <border>
      <left style="thin">
        <color auto="1"/>
      </left>
      <right style="medium">
        <color auto="1"/>
      </right>
      <top style="thick">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medium">
        <color auto="1"/>
      </top>
      <bottom style="thick">
        <color auto="1"/>
      </bottom>
      <diagonal/>
    </border>
    <border>
      <left style="thin">
        <color auto="1"/>
      </left>
      <right style="medium">
        <color auto="1"/>
      </right>
      <top style="medium">
        <color auto="1"/>
      </top>
      <bottom style="thick">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medium">
        <color auto="1"/>
      </right>
      <top style="thick">
        <color auto="1"/>
      </top>
      <bottom style="medium">
        <color auto="1"/>
      </bottom>
      <diagonal/>
    </border>
    <border>
      <left style="medium">
        <color auto="1"/>
      </left>
      <right/>
      <top style="thick">
        <color auto="1"/>
      </top>
      <bottom style="medium">
        <color auto="1"/>
      </bottom>
      <diagonal/>
    </border>
    <border>
      <left/>
      <right style="thick">
        <color auto="1"/>
      </right>
      <top style="medium">
        <color auto="1"/>
      </top>
      <bottom style="thick">
        <color auto="1"/>
      </bottom>
      <diagonal/>
    </border>
    <border>
      <left style="medium">
        <color auto="1"/>
      </left>
      <right/>
      <top/>
      <bottom/>
      <diagonal/>
    </border>
    <border>
      <left style="thin">
        <color auto="1"/>
      </left>
      <right style="thick">
        <color auto="1"/>
      </right>
      <top style="thick">
        <color auto="1"/>
      </top>
      <bottom/>
      <diagonal/>
    </border>
    <border>
      <left style="medium">
        <color auto="1"/>
      </left>
      <right style="thick">
        <color auto="1"/>
      </right>
      <top style="thin">
        <color auto="1"/>
      </top>
      <bottom style="thick">
        <color auto="1"/>
      </bottom>
      <diagonal/>
    </border>
    <border>
      <left style="medium">
        <color auto="1"/>
      </left>
      <right style="thick">
        <color auto="1"/>
      </right>
      <top/>
      <bottom style="thin">
        <color auto="1"/>
      </bottom>
      <diagonal/>
    </border>
    <border>
      <left style="thick">
        <color auto="1"/>
      </left>
      <right style="medium">
        <color auto="1"/>
      </right>
      <top style="thick">
        <color auto="1"/>
      </top>
      <bottom style="thick">
        <color auto="1"/>
      </bottom>
      <diagonal/>
    </border>
    <border>
      <left style="medium">
        <color auto="1"/>
      </left>
      <right style="medium">
        <color auto="1"/>
      </right>
      <top style="thick">
        <color auto="1"/>
      </top>
      <bottom style="thick">
        <color auto="1"/>
      </bottom>
      <diagonal/>
    </border>
    <border>
      <left style="medium">
        <color auto="1"/>
      </left>
      <right style="thick">
        <color auto="1"/>
      </right>
      <top style="thick">
        <color auto="1"/>
      </top>
      <bottom style="thick">
        <color auto="1"/>
      </bottom>
      <diagonal/>
    </border>
    <border>
      <left style="medium">
        <color auto="1"/>
      </left>
      <right style="medium">
        <color auto="1"/>
      </right>
      <top style="thick">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thick">
        <color auto="1"/>
      </bottom>
      <diagonal/>
    </border>
    <border>
      <left style="medium">
        <color auto="1"/>
      </left>
      <right style="thick">
        <color auto="1"/>
      </right>
      <top style="thick">
        <color auto="1"/>
      </top>
      <bottom style="thin">
        <color auto="1"/>
      </bottom>
      <diagonal/>
    </border>
    <border>
      <left style="medium">
        <color auto="1"/>
      </left>
      <right style="thick">
        <color auto="1"/>
      </right>
      <top style="thin">
        <color auto="1"/>
      </top>
      <bottom style="thin">
        <color auto="1"/>
      </bottom>
      <diagonal/>
    </border>
    <border>
      <left style="thin">
        <color auto="1"/>
      </left>
      <right/>
      <top style="thin">
        <color auto="1"/>
      </top>
      <bottom style="thin">
        <color auto="1"/>
      </bottom>
      <diagonal/>
    </border>
    <border>
      <left/>
      <right style="thick">
        <color auto="1"/>
      </right>
      <top style="medium">
        <color auto="1"/>
      </top>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top style="medium">
        <color auto="1"/>
      </top>
      <bottom style="thick">
        <color auto="1"/>
      </bottom>
      <diagonal/>
    </border>
    <border>
      <left style="thin">
        <color auto="1"/>
      </left>
      <right style="thin">
        <color auto="1"/>
      </right>
      <top/>
      <bottom/>
      <diagonal/>
    </border>
    <border>
      <left style="medium">
        <color auto="1"/>
      </left>
      <right/>
      <top style="thin">
        <color auto="1"/>
      </top>
      <bottom style="medium">
        <color auto="1"/>
      </bottom>
      <diagonal/>
    </border>
    <border>
      <left/>
      <right style="medium">
        <color auto="1"/>
      </right>
      <top style="thin">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ck">
        <color auto="1"/>
      </left>
      <right style="thin">
        <color auto="1"/>
      </right>
      <top style="thin">
        <color auto="1"/>
      </top>
      <bottom/>
      <diagonal/>
    </border>
    <border>
      <left/>
      <right style="thick">
        <color auto="1"/>
      </right>
      <top style="thin">
        <color auto="1"/>
      </top>
      <bottom/>
      <diagonal/>
    </border>
    <border>
      <left style="thick">
        <color auto="1"/>
      </left>
      <right style="thin">
        <color auto="1"/>
      </right>
      <top style="thick">
        <color auto="1"/>
      </top>
      <bottom/>
      <diagonal/>
    </border>
    <border>
      <left style="thin">
        <color auto="1"/>
      </left>
      <right/>
      <top style="thick">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medium">
        <color auto="1"/>
      </left>
      <right style="medium">
        <color auto="1"/>
      </right>
      <top style="thin">
        <color auto="1"/>
      </top>
      <bottom/>
      <diagonal/>
    </border>
    <border>
      <left style="medium">
        <color auto="1"/>
      </left>
      <right style="thick">
        <color auto="1"/>
      </right>
      <top style="thin">
        <color auto="1"/>
      </top>
      <bottom/>
      <diagonal/>
    </border>
  </borders>
  <cellStyleXfs count="1">
    <xf numFmtId="0" fontId="0" fillId="0" borderId="0"/>
  </cellStyleXfs>
  <cellXfs count="272">
    <xf numFmtId="0" fontId="0" fillId="0" borderId="0" xfId="0"/>
    <xf numFmtId="0" fontId="2" fillId="0" borderId="0" xfId="0" applyFont="1"/>
    <xf numFmtId="0" fontId="4" fillId="0" borderId="0" xfId="0" applyFont="1"/>
    <xf numFmtId="0" fontId="0" fillId="2" borderId="0" xfId="0" applyFill="1"/>
    <xf numFmtId="0" fontId="3" fillId="2" borderId="0" xfId="0" applyFont="1" applyFill="1"/>
    <xf numFmtId="0" fontId="0" fillId="3" borderId="0" xfId="0" applyFill="1"/>
    <xf numFmtId="0" fontId="3" fillId="3" borderId="0" xfId="0" applyFont="1" applyFill="1"/>
    <xf numFmtId="0" fontId="3" fillId="0" borderId="0" xfId="0" applyFont="1"/>
    <xf numFmtId="0" fontId="1" fillId="4" borderId="0" xfId="0" applyFont="1" applyFill="1"/>
    <xf numFmtId="0" fontId="2" fillId="4" borderId="0" xfId="0" applyFont="1" applyFill="1"/>
    <xf numFmtId="0" fontId="0" fillId="4" borderId="0" xfId="0" applyFill="1"/>
    <xf numFmtId="0" fontId="1" fillId="3" borderId="0" xfId="0" applyFont="1" applyFill="1"/>
    <xf numFmtId="0" fontId="2" fillId="3" borderId="0" xfId="0" applyFont="1" applyFill="1"/>
    <xf numFmtId="0" fontId="0" fillId="0" borderId="11" xfId="0" applyBorder="1" applyAlignment="1">
      <alignment horizontal="center"/>
    </xf>
    <xf numFmtId="0" fontId="0" fillId="0" borderId="14" xfId="0" applyBorder="1" applyAlignment="1">
      <alignment horizontal="center"/>
    </xf>
    <xf numFmtId="0" fontId="2" fillId="0" borderId="20"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1"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24" xfId="0" applyFont="1" applyBorder="1" applyAlignment="1">
      <alignment horizontal="center"/>
    </xf>
    <xf numFmtId="0" fontId="2" fillId="0" borderId="17" xfId="0" applyFont="1" applyBorder="1" applyAlignment="1">
      <alignment horizontal="center"/>
    </xf>
    <xf numFmtId="0" fontId="2" fillId="0" borderId="11" xfId="0" applyFont="1" applyBorder="1" applyAlignment="1">
      <alignment horizontal="center"/>
    </xf>
    <xf numFmtId="0" fontId="2" fillId="0" borderId="14" xfId="0" applyFont="1" applyBorder="1" applyAlignment="1">
      <alignment horizontal="center"/>
    </xf>
    <xf numFmtId="0" fontId="2" fillId="0" borderId="36" xfId="0" applyFont="1" applyBorder="1" applyAlignment="1">
      <alignment horizontal="center"/>
    </xf>
    <xf numFmtId="0" fontId="2" fillId="0" borderId="39" xfId="0" applyFont="1" applyBorder="1" applyAlignment="1">
      <alignment horizontal="center"/>
    </xf>
    <xf numFmtId="0" fontId="2" fillId="0" borderId="38" xfId="0" applyFont="1" applyBorder="1" applyAlignment="1">
      <alignment horizontal="center"/>
    </xf>
    <xf numFmtId="0" fontId="2" fillId="0" borderId="37" xfId="0" applyFont="1" applyBorder="1" applyAlignment="1">
      <alignment horizontal="center"/>
    </xf>
    <xf numFmtId="0" fontId="0" fillId="0" borderId="0" xfId="0" applyAlignment="1">
      <alignment horizontal="center"/>
    </xf>
    <xf numFmtId="0" fontId="7" fillId="0" borderId="0" xfId="0" applyFont="1"/>
    <xf numFmtId="0" fontId="2" fillId="0" borderId="23" xfId="0" applyFont="1" applyBorder="1"/>
    <xf numFmtId="0" fontId="2" fillId="0" borderId="49" xfId="0" applyFont="1" applyBorder="1" applyAlignment="1">
      <alignment horizontal="center"/>
    </xf>
    <xf numFmtId="0" fontId="2" fillId="0" borderId="50" xfId="0" applyFont="1" applyBorder="1" applyAlignment="1">
      <alignment horizontal="center"/>
    </xf>
    <xf numFmtId="0" fontId="8" fillId="0" borderId="0" xfId="0" applyFont="1" applyAlignment="1">
      <alignment vertical="center"/>
    </xf>
    <xf numFmtId="0" fontId="0" fillId="7" borderId="0" xfId="0" applyFill="1"/>
    <xf numFmtId="0" fontId="0" fillId="8" borderId="0" xfId="0" applyFill="1"/>
    <xf numFmtId="0" fontId="0" fillId="9" borderId="0" xfId="0" applyFill="1"/>
    <xf numFmtId="0" fontId="0" fillId="10" borderId="0" xfId="0" applyFill="1"/>
    <xf numFmtId="0" fontId="2" fillId="9" borderId="0" xfId="0" applyFont="1" applyFill="1"/>
    <xf numFmtId="0" fontId="2" fillId="7" borderId="0" xfId="0" applyFont="1" applyFill="1"/>
    <xf numFmtId="0" fontId="2" fillId="8" borderId="0" xfId="0" applyFont="1" applyFill="1"/>
    <xf numFmtId="3" fontId="0" fillId="0" borderId="48" xfId="0" applyNumberFormat="1" applyBorder="1"/>
    <xf numFmtId="0" fontId="0" fillId="0" borderId="66" xfId="0" applyBorder="1" applyAlignment="1">
      <alignment horizontal="center"/>
    </xf>
    <xf numFmtId="0" fontId="2" fillId="0" borderId="67" xfId="0" applyFont="1" applyBorder="1" applyAlignment="1">
      <alignment horizontal="center"/>
    </xf>
    <xf numFmtId="0" fontId="2" fillId="0" borderId="68" xfId="0" applyFont="1" applyBorder="1" applyAlignment="1">
      <alignment horizontal="center"/>
    </xf>
    <xf numFmtId="0" fontId="2" fillId="0" borderId="0" xfId="0" applyFont="1" applyAlignment="1">
      <alignment horizontal="center"/>
    </xf>
    <xf numFmtId="0" fontId="10" fillId="0" borderId="0" xfId="0" applyFont="1"/>
    <xf numFmtId="164" fontId="0" fillId="0" borderId="48" xfId="0" applyNumberFormat="1" applyBorder="1" applyAlignment="1">
      <alignment horizontal="center"/>
    </xf>
    <xf numFmtId="0" fontId="5" fillId="10" borderId="0" xfId="0" applyFont="1" applyFill="1"/>
    <xf numFmtId="0" fontId="11" fillId="10" borderId="0" xfId="0" applyFont="1" applyFill="1"/>
    <xf numFmtId="0" fontId="3" fillId="8" borderId="0" xfId="0" applyFont="1" applyFill="1"/>
    <xf numFmtId="0" fontId="11" fillId="9" borderId="0" xfId="0" applyFont="1" applyFill="1"/>
    <xf numFmtId="0" fontId="11" fillId="7" borderId="0" xfId="0" applyFont="1" applyFill="1"/>
    <xf numFmtId="0" fontId="11" fillId="8" borderId="0" xfId="0" applyFont="1" applyFill="1"/>
    <xf numFmtId="0" fontId="0" fillId="0" borderId="0" xfId="0" applyAlignment="1">
      <alignment horizontal="left"/>
    </xf>
    <xf numFmtId="0" fontId="11" fillId="0" borderId="0" xfId="0" applyFont="1"/>
    <xf numFmtId="0" fontId="0" fillId="0" borderId="0" xfId="0" applyProtection="1">
      <protection locked="0"/>
    </xf>
    <xf numFmtId="0" fontId="9" fillId="0" borderId="69" xfId="0" applyFont="1" applyBorder="1" applyAlignment="1">
      <alignment horizontal="left" vertical="center" wrapText="1"/>
    </xf>
    <xf numFmtId="0" fontId="9" fillId="0" borderId="70" xfId="0" applyFont="1" applyBorder="1" applyAlignment="1">
      <alignment horizontal="left" vertical="center" wrapText="1"/>
    </xf>
    <xf numFmtId="0" fontId="9" fillId="0" borderId="70" xfId="0" applyFont="1" applyBorder="1" applyAlignment="1">
      <alignment horizontal="left" vertical="center"/>
    </xf>
    <xf numFmtId="0" fontId="9" fillId="0" borderId="70" xfId="0" applyFont="1" applyBorder="1" applyAlignment="1">
      <alignment wrapText="1"/>
    </xf>
    <xf numFmtId="0" fontId="9" fillId="0" borderId="72" xfId="0" applyFont="1" applyBorder="1" applyAlignment="1">
      <alignment horizontal="left" wrapText="1"/>
    </xf>
    <xf numFmtId="0" fontId="9" fillId="0" borderId="73" xfId="0" applyFont="1" applyBorder="1" applyAlignment="1">
      <alignment wrapText="1"/>
    </xf>
    <xf numFmtId="0" fontId="9" fillId="0" borderId="73" xfId="0" applyFont="1" applyBorder="1" applyAlignment="1">
      <alignment horizontal="left" vertical="center" wrapText="1"/>
    </xf>
    <xf numFmtId="0" fontId="9" fillId="0" borderId="73" xfId="0" applyFont="1" applyBorder="1" applyAlignment="1">
      <alignment vertical="center" wrapText="1"/>
    </xf>
    <xf numFmtId="0" fontId="9" fillId="0" borderId="64" xfId="0" applyFont="1" applyBorder="1" applyAlignment="1">
      <alignment vertical="center" wrapText="1"/>
    </xf>
    <xf numFmtId="0" fontId="12" fillId="0" borderId="0" xfId="0" applyFont="1"/>
    <xf numFmtId="0" fontId="12" fillId="0" borderId="0" xfId="0" applyFont="1" applyAlignment="1">
      <alignment horizontal="center"/>
    </xf>
    <xf numFmtId="49" fontId="0" fillId="5" borderId="12" xfId="0" applyNumberFormat="1" applyFill="1" applyBorder="1" applyAlignment="1" applyProtection="1">
      <alignment horizontal="center"/>
      <protection locked="0"/>
    </xf>
    <xf numFmtId="0" fontId="0" fillId="5" borderId="3" xfId="0" applyFill="1" applyBorder="1" applyAlignment="1" applyProtection="1">
      <alignment horizontal="center"/>
      <protection locked="0"/>
    </xf>
    <xf numFmtId="49" fontId="0" fillId="5" borderId="13" xfId="0" applyNumberFormat="1" applyFill="1" applyBorder="1" applyAlignment="1" applyProtection="1">
      <alignment horizontal="center"/>
      <protection locked="0"/>
    </xf>
    <xf numFmtId="0" fontId="0" fillId="5" borderId="4" xfId="0" applyFill="1" applyBorder="1" applyAlignment="1" applyProtection="1">
      <alignment horizontal="center"/>
      <protection locked="0"/>
    </xf>
    <xf numFmtId="0" fontId="0" fillId="5" borderId="8" xfId="0" applyFill="1" applyBorder="1" applyAlignment="1" applyProtection="1">
      <alignment horizontal="center"/>
      <protection locked="0"/>
    </xf>
    <xf numFmtId="49" fontId="0" fillId="5" borderId="47" xfId="0" applyNumberFormat="1" applyFill="1" applyBorder="1" applyAlignment="1" applyProtection="1">
      <alignment horizontal="center"/>
      <protection locked="0"/>
    </xf>
    <xf numFmtId="0" fontId="0" fillId="5" borderId="6" xfId="0" applyFill="1" applyBorder="1" applyAlignment="1" applyProtection="1">
      <alignment horizontal="center"/>
      <protection locked="0"/>
    </xf>
    <xf numFmtId="0" fontId="0" fillId="5" borderId="48" xfId="0" applyFill="1" applyBorder="1" applyAlignment="1" applyProtection="1">
      <alignment horizontal="center"/>
      <protection locked="0"/>
    </xf>
    <xf numFmtId="0" fontId="2" fillId="0" borderId="0" xfId="0" applyFont="1" applyAlignment="1">
      <alignment horizontal="left"/>
    </xf>
    <xf numFmtId="0" fontId="2" fillId="0" borderId="0" xfId="0" applyFont="1" applyAlignment="1">
      <alignment vertical="top"/>
    </xf>
    <xf numFmtId="0" fontId="2" fillId="0" borderId="50" xfId="0" applyFont="1" applyBorder="1" applyAlignment="1">
      <alignment horizontal="center" wrapText="1"/>
    </xf>
    <xf numFmtId="0" fontId="0" fillId="0" borderId="0" xfId="0" applyAlignment="1" applyProtection="1">
      <alignment horizontal="center"/>
      <protection locked="0"/>
    </xf>
    <xf numFmtId="0" fontId="2" fillId="0" borderId="75" xfId="0" applyFont="1" applyBorder="1" applyAlignment="1">
      <alignment horizontal="center"/>
    </xf>
    <xf numFmtId="0" fontId="2" fillId="0" borderId="10" xfId="0" applyFont="1" applyBorder="1" applyAlignment="1">
      <alignment horizontal="center"/>
    </xf>
    <xf numFmtId="0" fontId="2" fillId="0" borderId="15" xfId="0" applyFont="1" applyBorder="1" applyAlignment="1">
      <alignment horizontal="center" wrapText="1"/>
    </xf>
    <xf numFmtId="0" fontId="0" fillId="6" borderId="51" xfId="0" applyFill="1" applyBorder="1" applyAlignment="1">
      <alignment horizontal="center"/>
    </xf>
    <xf numFmtId="2" fontId="0" fillId="0" borderId="0" xfId="0" applyNumberFormat="1"/>
    <xf numFmtId="0" fontId="2" fillId="0" borderId="22" xfId="0" applyFont="1" applyBorder="1" applyAlignment="1">
      <alignment horizontal="center"/>
    </xf>
    <xf numFmtId="165" fontId="0" fillId="0" borderId="0" xfId="0" applyNumberFormat="1"/>
    <xf numFmtId="1" fontId="0" fillId="0" borderId="0" xfId="0" applyNumberFormat="1"/>
    <xf numFmtId="0" fontId="0" fillId="0" borderId="0" xfId="0" applyAlignment="1">
      <alignment horizontal="right"/>
    </xf>
    <xf numFmtId="0" fontId="7" fillId="0" borderId="0" xfId="0" applyFont="1" applyAlignment="1" applyProtection="1">
      <alignment horizontal="center"/>
      <protection locked="0"/>
    </xf>
    <xf numFmtId="0" fontId="0" fillId="0" borderId="26" xfId="0" applyBorder="1" applyAlignment="1">
      <alignment horizontal="center"/>
    </xf>
    <xf numFmtId="0" fontId="0" fillId="0" borderId="9" xfId="0" applyBorder="1" applyAlignment="1">
      <alignment horizontal="center"/>
    </xf>
    <xf numFmtId="0" fontId="14" fillId="0" borderId="0" xfId="0" applyFont="1"/>
    <xf numFmtId="0" fontId="15" fillId="0" borderId="0" xfId="0" applyFont="1"/>
    <xf numFmtId="4" fontId="0" fillId="6" borderId="1" xfId="0" applyNumberFormat="1" applyFill="1" applyBorder="1"/>
    <xf numFmtId="4" fontId="0" fillId="6" borderId="79" xfId="0" applyNumberFormat="1" applyFill="1" applyBorder="1"/>
    <xf numFmtId="4" fontId="0" fillId="6" borderId="41" xfId="0" applyNumberFormat="1" applyFill="1" applyBorder="1"/>
    <xf numFmtId="4" fontId="0" fillId="6" borderId="2" xfId="0" applyNumberFormat="1" applyFill="1" applyBorder="1"/>
    <xf numFmtId="4" fontId="0" fillId="6" borderId="7" xfId="0" applyNumberFormat="1" applyFill="1" applyBorder="1" applyAlignment="1">
      <alignment horizontal="center"/>
    </xf>
    <xf numFmtId="3" fontId="0" fillId="0" borderId="29" xfId="0" applyNumberFormat="1" applyBorder="1"/>
    <xf numFmtId="3" fontId="0" fillId="0" borderId="32" xfId="0" applyNumberFormat="1" applyBorder="1"/>
    <xf numFmtId="3" fontId="0" fillId="0" borderId="61" xfId="0" applyNumberFormat="1" applyBorder="1"/>
    <xf numFmtId="3" fontId="0" fillId="0" borderId="53" xfId="0" applyNumberFormat="1" applyBorder="1"/>
    <xf numFmtId="3" fontId="0" fillId="0" borderId="7" xfId="0" applyNumberFormat="1" applyBorder="1"/>
    <xf numFmtId="3" fontId="0" fillId="5" borderId="45" xfId="0" applyNumberFormat="1" applyFill="1" applyBorder="1" applyProtection="1">
      <protection locked="0"/>
    </xf>
    <xf numFmtId="3" fontId="0" fillId="5" borderId="46" xfId="0" applyNumberFormat="1" applyFill="1" applyBorder="1" applyProtection="1">
      <protection locked="0"/>
    </xf>
    <xf numFmtId="3" fontId="0" fillId="0" borderId="40" xfId="0" applyNumberFormat="1" applyBorder="1"/>
    <xf numFmtId="3" fontId="0" fillId="0" borderId="55" xfId="0" applyNumberFormat="1" applyBorder="1"/>
    <xf numFmtId="3" fontId="0" fillId="5" borderId="43" xfId="0" applyNumberFormat="1" applyFill="1" applyBorder="1" applyProtection="1">
      <protection locked="0"/>
    </xf>
    <xf numFmtId="3" fontId="0" fillId="5" borderId="2" xfId="0" applyNumberFormat="1" applyFill="1" applyBorder="1" applyProtection="1">
      <protection locked="0"/>
    </xf>
    <xf numFmtId="3" fontId="0" fillId="5" borderId="1" xfId="0" applyNumberFormat="1" applyFill="1" applyBorder="1" applyProtection="1">
      <protection locked="0"/>
    </xf>
    <xf numFmtId="3" fontId="0" fillId="5" borderId="44" xfId="0" applyNumberFormat="1" applyFill="1" applyBorder="1" applyProtection="1">
      <protection locked="0"/>
    </xf>
    <xf numFmtId="3" fontId="0" fillId="5" borderId="53" xfId="0" applyNumberFormat="1" applyFill="1" applyBorder="1" applyProtection="1">
      <protection locked="0"/>
    </xf>
    <xf numFmtId="3" fontId="0" fillId="5" borderId="7" xfId="0" applyNumberFormat="1" applyFill="1" applyBorder="1" applyProtection="1">
      <protection locked="0"/>
    </xf>
    <xf numFmtId="3" fontId="0" fillId="5" borderId="76" xfId="0" applyNumberFormat="1" applyFill="1" applyBorder="1" applyProtection="1">
      <protection locked="0"/>
    </xf>
    <xf numFmtId="3" fontId="0" fillId="0" borderId="0" xfId="0" applyNumberFormat="1"/>
    <xf numFmtId="3" fontId="0" fillId="0" borderId="1" xfId="0" applyNumberFormat="1" applyBorder="1"/>
    <xf numFmtId="3" fontId="0" fillId="0" borderId="40" xfId="0" applyNumberFormat="1" applyBorder="1" applyAlignment="1">
      <alignment horizontal="center"/>
    </xf>
    <xf numFmtId="3" fontId="0" fillId="0" borderId="41" xfId="0" applyNumberFormat="1" applyBorder="1" applyAlignment="1">
      <alignment horizontal="center"/>
    </xf>
    <xf numFmtId="3" fontId="0" fillId="5" borderId="2" xfId="0" applyNumberFormat="1" applyFill="1" applyBorder="1" applyAlignment="1" applyProtection="1">
      <alignment horizontal="center"/>
      <protection locked="0"/>
    </xf>
    <xf numFmtId="3" fontId="0" fillId="5" borderId="1" xfId="0" applyNumberFormat="1" applyFill="1" applyBorder="1" applyAlignment="1" applyProtection="1">
      <alignment horizontal="center"/>
      <protection locked="0"/>
    </xf>
    <xf numFmtId="3" fontId="0" fillId="5" borderId="7" xfId="0" applyNumberFormat="1" applyFill="1" applyBorder="1" applyAlignment="1" applyProtection="1">
      <alignment horizontal="center"/>
      <protection locked="0"/>
    </xf>
    <xf numFmtId="3" fontId="0" fillId="5" borderId="5" xfId="0" applyNumberFormat="1" applyFill="1" applyBorder="1" applyAlignment="1" applyProtection="1">
      <alignment horizontal="center"/>
      <protection locked="0"/>
    </xf>
    <xf numFmtId="2" fontId="0" fillId="0" borderId="1" xfId="0" applyNumberFormat="1" applyBorder="1" applyAlignment="1">
      <alignment horizontal="center"/>
    </xf>
    <xf numFmtId="0" fontId="16" fillId="0" borderId="0" xfId="0" applyFont="1"/>
    <xf numFmtId="3" fontId="0" fillId="13" borderId="32" xfId="0" applyNumberFormat="1" applyFill="1" applyBorder="1"/>
    <xf numFmtId="0" fontId="0" fillId="6" borderId="27" xfId="0" applyFill="1" applyBorder="1"/>
    <xf numFmtId="0" fontId="0" fillId="6" borderId="28" xfId="0" applyFill="1" applyBorder="1"/>
    <xf numFmtId="0" fontId="0" fillId="6" borderId="2" xfId="0" applyFill="1" applyBorder="1"/>
    <xf numFmtId="4" fontId="0" fillId="6" borderId="30" xfId="0" applyNumberFormat="1" applyFill="1" applyBorder="1"/>
    <xf numFmtId="3" fontId="0" fillId="0" borderId="43" xfId="0" applyNumberFormat="1" applyBorder="1" applyAlignment="1">
      <alignment horizontal="center"/>
    </xf>
    <xf numFmtId="3" fontId="0" fillId="0" borderId="2" xfId="0" applyNumberFormat="1" applyBorder="1" applyAlignment="1">
      <alignment horizontal="center"/>
    </xf>
    <xf numFmtId="3" fontId="0" fillId="0" borderId="44" xfId="0" applyNumberFormat="1" applyBorder="1" applyAlignment="1">
      <alignment horizontal="center"/>
    </xf>
    <xf numFmtId="3" fontId="0" fillId="0" borderId="1" xfId="0" applyNumberFormat="1" applyBorder="1" applyAlignment="1">
      <alignment horizontal="center"/>
    </xf>
    <xf numFmtId="3" fontId="0" fillId="0" borderId="45" xfId="0" applyNumberFormat="1" applyBorder="1" applyAlignment="1">
      <alignment horizontal="center"/>
    </xf>
    <xf numFmtId="3" fontId="0" fillId="0" borderId="46" xfId="0" applyNumberFormat="1" applyBorder="1" applyAlignment="1">
      <alignment horizontal="center"/>
    </xf>
    <xf numFmtId="0" fontId="16" fillId="0" borderId="62" xfId="0" applyFont="1" applyBorder="1" applyAlignment="1">
      <alignment horizontal="left"/>
    </xf>
    <xf numFmtId="164" fontId="0" fillId="0" borderId="63" xfId="0" applyNumberFormat="1" applyBorder="1" applyAlignment="1">
      <alignment horizontal="center"/>
    </xf>
    <xf numFmtId="164" fontId="0" fillId="0" borderId="4" xfId="0" applyNumberFormat="1" applyBorder="1" applyAlignment="1">
      <alignment horizontal="center"/>
    </xf>
    <xf numFmtId="164" fontId="0" fillId="0" borderId="8" xfId="0" applyNumberFormat="1" applyBorder="1" applyAlignment="1">
      <alignment horizontal="center"/>
    </xf>
    <xf numFmtId="164" fontId="0" fillId="0" borderId="42" xfId="0" applyNumberFormat="1" applyBorder="1" applyAlignment="1">
      <alignment horizontal="center"/>
    </xf>
    <xf numFmtId="3" fontId="0" fillId="0" borderId="44" xfId="0" applyNumberFormat="1" applyBorder="1"/>
    <xf numFmtId="0" fontId="11" fillId="0" borderId="0" xfId="0" applyFont="1" applyAlignment="1">
      <alignment horizontal="center"/>
    </xf>
    <xf numFmtId="3" fontId="0" fillId="13" borderId="44" xfId="0" applyNumberFormat="1" applyFill="1" applyBorder="1"/>
    <xf numFmtId="3" fontId="0" fillId="13" borderId="1" xfId="0" applyNumberFormat="1" applyFill="1" applyBorder="1"/>
    <xf numFmtId="49" fontId="0" fillId="0" borderId="48" xfId="0" applyNumberFormat="1" applyBorder="1" applyAlignment="1">
      <alignment horizontal="center"/>
    </xf>
    <xf numFmtId="0" fontId="3" fillId="0" borderId="0" xfId="0" applyFont="1" applyAlignment="1">
      <alignment horizontal="right"/>
    </xf>
    <xf numFmtId="0" fontId="0" fillId="0" borderId="48" xfId="0" applyBorder="1" applyAlignment="1">
      <alignment horizontal="center"/>
    </xf>
    <xf numFmtId="0" fontId="1" fillId="0" borderId="0" xfId="0" applyFont="1"/>
    <xf numFmtId="0" fontId="3" fillId="0" borderId="0" xfId="0" applyFont="1" applyAlignment="1">
      <alignment horizontal="center"/>
    </xf>
    <xf numFmtId="49" fontId="3" fillId="0" borderId="0" xfId="0" applyNumberFormat="1" applyFont="1" applyAlignment="1">
      <alignment horizontal="center"/>
    </xf>
    <xf numFmtId="166" fontId="0" fillId="6" borderId="1" xfId="0" applyNumberFormat="1" applyFill="1" applyBorder="1"/>
    <xf numFmtId="3" fontId="0" fillId="5" borderId="13" xfId="0" applyNumberFormat="1" applyFill="1" applyBorder="1" applyProtection="1">
      <protection locked="0"/>
    </xf>
    <xf numFmtId="164" fontId="0" fillId="0" borderId="82" xfId="0" applyNumberFormat="1" applyBorder="1" applyAlignment="1">
      <alignment horizontal="center"/>
    </xf>
    <xf numFmtId="164" fontId="0" fillId="0" borderId="32" xfId="0" applyNumberFormat="1" applyBorder="1" applyAlignment="1">
      <alignment horizontal="center"/>
    </xf>
    <xf numFmtId="164" fontId="0" fillId="0" borderId="83" xfId="0" applyNumberFormat="1" applyBorder="1" applyAlignment="1">
      <alignment horizontal="center"/>
    </xf>
    <xf numFmtId="164" fontId="0" fillId="0" borderId="35" xfId="0" applyNumberFormat="1" applyBorder="1" applyAlignment="1">
      <alignment horizontal="center"/>
    </xf>
    <xf numFmtId="164" fontId="0" fillId="0" borderId="84" xfId="0" applyNumberFormat="1" applyBorder="1" applyAlignment="1">
      <alignment horizontal="center"/>
    </xf>
    <xf numFmtId="164" fontId="0" fillId="0" borderId="85" xfId="0" applyNumberFormat="1" applyBorder="1" applyAlignment="1">
      <alignment horizontal="center"/>
    </xf>
    <xf numFmtId="164" fontId="0" fillId="0" borderId="86" xfId="0" applyNumberFormat="1" applyBorder="1" applyAlignment="1">
      <alignment horizontal="center"/>
    </xf>
    <xf numFmtId="164" fontId="0" fillId="0" borderId="23" xfId="0" applyNumberFormat="1" applyBorder="1" applyAlignment="1">
      <alignment horizontal="center"/>
    </xf>
    <xf numFmtId="0" fontId="17" fillId="0" borderId="0" xfId="0" applyFont="1"/>
    <xf numFmtId="166" fontId="0" fillId="0" borderId="74" xfId="0" applyNumberFormat="1" applyBorder="1"/>
    <xf numFmtId="166" fontId="0" fillId="0" borderId="52" xfId="0" applyNumberFormat="1" applyBorder="1"/>
    <xf numFmtId="166" fontId="0" fillId="6" borderId="74" xfId="0" applyNumberFormat="1" applyFill="1" applyBorder="1"/>
    <xf numFmtId="166" fontId="0" fillId="13" borderId="52" xfId="0" applyNumberFormat="1" applyFill="1" applyBorder="1"/>
    <xf numFmtId="166" fontId="0" fillId="0" borderId="54" xfId="0" applyNumberFormat="1" applyBorder="1"/>
    <xf numFmtId="166" fontId="0" fillId="0" borderId="78" xfId="0" applyNumberFormat="1" applyBorder="1"/>
    <xf numFmtId="166" fontId="0" fillId="0" borderId="56" xfId="0" applyNumberFormat="1" applyBorder="1"/>
    <xf numFmtId="166" fontId="0" fillId="0" borderId="87" xfId="0" applyNumberFormat="1" applyBorder="1"/>
    <xf numFmtId="166" fontId="0" fillId="0" borderId="2" xfId="0" applyNumberFormat="1" applyBorder="1"/>
    <xf numFmtId="166" fontId="0" fillId="6" borderId="7" xfId="0" applyNumberFormat="1" applyFill="1" applyBorder="1"/>
    <xf numFmtId="166" fontId="0" fillId="6" borderId="7" xfId="0" applyNumberFormat="1" applyFill="1" applyBorder="1" applyAlignment="1">
      <alignment horizontal="center"/>
    </xf>
    <xf numFmtId="166" fontId="0" fillId="0" borderId="1" xfId="0" applyNumberFormat="1" applyBorder="1"/>
    <xf numFmtId="166" fontId="0" fillId="13" borderId="7" xfId="0" applyNumberFormat="1" applyFill="1" applyBorder="1"/>
    <xf numFmtId="166" fontId="0" fillId="14" borderId="7" xfId="0" applyNumberFormat="1" applyFill="1" applyBorder="1"/>
    <xf numFmtId="166" fontId="0" fillId="0" borderId="89" xfId="0" applyNumberFormat="1" applyBorder="1"/>
    <xf numFmtId="166" fontId="0" fillId="0" borderId="7" xfId="0" applyNumberFormat="1" applyBorder="1"/>
    <xf numFmtId="166" fontId="0" fillId="0" borderId="88" xfId="0" applyNumberFormat="1" applyBorder="1"/>
    <xf numFmtId="166" fontId="0" fillId="0" borderId="41" xfId="0" applyNumberFormat="1" applyBorder="1"/>
    <xf numFmtId="164" fontId="0" fillId="0" borderId="74" xfId="0" applyNumberFormat="1" applyBorder="1"/>
    <xf numFmtId="164" fontId="0" fillId="0" borderId="52" xfId="0" applyNumberFormat="1" applyBorder="1" applyAlignment="1">
      <alignment horizontal="right"/>
    </xf>
    <xf numFmtId="164" fontId="0" fillId="0" borderId="52" xfId="0" applyNumberFormat="1" applyBorder="1"/>
    <xf numFmtId="164" fontId="0" fillId="6" borderId="74" xfId="0" applyNumberFormat="1" applyFill="1" applyBorder="1"/>
    <xf numFmtId="164" fontId="0" fillId="13" borderId="52" xfId="0" applyNumberFormat="1" applyFill="1" applyBorder="1"/>
    <xf numFmtId="164" fontId="0" fillId="0" borderId="54" xfId="0" applyNumberFormat="1" applyBorder="1"/>
    <xf numFmtId="164" fontId="0" fillId="0" borderId="78" xfId="0" applyNumberFormat="1" applyBorder="1"/>
    <xf numFmtId="164" fontId="0" fillId="0" borderId="56" xfId="0" applyNumberFormat="1" applyBorder="1"/>
    <xf numFmtId="164" fontId="0" fillId="13" borderId="74" xfId="0" applyNumberFormat="1" applyFill="1" applyBorder="1"/>
    <xf numFmtId="164" fontId="0" fillId="0" borderId="87" xfId="0" applyNumberFormat="1" applyBorder="1"/>
    <xf numFmtId="164" fontId="0" fillId="0" borderId="2" xfId="0" applyNumberFormat="1" applyBorder="1"/>
    <xf numFmtId="164" fontId="0" fillId="6" borderId="1" xfId="0" applyNumberFormat="1" applyFill="1" applyBorder="1"/>
    <xf numFmtId="164" fontId="0" fillId="6" borderId="7" xfId="0" applyNumberFormat="1" applyFill="1" applyBorder="1" applyAlignment="1">
      <alignment horizontal="center"/>
    </xf>
    <xf numFmtId="164" fontId="0" fillId="0" borderId="1" xfId="0" applyNumberFormat="1" applyBorder="1"/>
    <xf numFmtId="164" fontId="0" fillId="13" borderId="7" xfId="0" applyNumberFormat="1" applyFill="1" applyBorder="1"/>
    <xf numFmtId="164" fontId="0" fillId="0" borderId="7" xfId="0" applyNumberFormat="1" applyBorder="1"/>
    <xf numFmtId="164" fontId="0" fillId="0" borderId="88" xfId="0" applyNumberFormat="1" applyBorder="1"/>
    <xf numFmtId="164" fontId="0" fillId="0" borderId="41" xfId="0" applyNumberFormat="1" applyBorder="1"/>
    <xf numFmtId="164" fontId="0" fillId="14" borderId="7" xfId="0" applyNumberFormat="1" applyFill="1" applyBorder="1"/>
    <xf numFmtId="167" fontId="0" fillId="5" borderId="48" xfId="0" applyNumberFormat="1" applyFill="1" applyBorder="1" applyAlignment="1" applyProtection="1">
      <alignment horizontal="center"/>
      <protection locked="0"/>
    </xf>
    <xf numFmtId="167" fontId="0" fillId="0" borderId="48" xfId="0" applyNumberFormat="1" applyBorder="1" applyAlignment="1">
      <alignment horizontal="center"/>
    </xf>
    <xf numFmtId="2" fontId="0" fillId="5" borderId="48" xfId="0" applyNumberFormat="1" applyFill="1" applyBorder="1" applyAlignment="1" applyProtection="1">
      <alignment horizontal="center"/>
      <protection locked="0"/>
    </xf>
    <xf numFmtId="0" fontId="0" fillId="5" borderId="91" xfId="0" applyFill="1" applyBorder="1"/>
    <xf numFmtId="0" fontId="2" fillId="5" borderId="90" xfId="0" applyFont="1" applyFill="1" applyBorder="1" applyAlignment="1">
      <alignment horizontal="center"/>
    </xf>
    <xf numFmtId="0" fontId="0" fillId="5" borderId="90" xfId="0" applyFill="1" applyBorder="1"/>
    <xf numFmtId="0" fontId="0" fillId="5" borderId="92" xfId="0" applyFill="1" applyBorder="1"/>
    <xf numFmtId="0" fontId="0" fillId="5" borderId="88" xfId="0" applyFill="1" applyBorder="1"/>
    <xf numFmtId="0" fontId="0" fillId="5" borderId="93" xfId="0" applyFill="1" applyBorder="1"/>
    <xf numFmtId="0" fontId="0" fillId="5" borderId="94" xfId="0" applyFill="1" applyBorder="1"/>
    <xf numFmtId="0" fontId="12" fillId="0" borderId="0" xfId="0" applyFont="1" applyAlignment="1" applyProtection="1">
      <alignment horizontal="center"/>
      <protection locked="0"/>
    </xf>
    <xf numFmtId="167" fontId="12" fillId="0" borderId="0" xfId="0" applyNumberFormat="1" applyFont="1" applyAlignment="1">
      <alignment horizontal="center"/>
    </xf>
    <xf numFmtId="0" fontId="9" fillId="0" borderId="95" xfId="0" applyFont="1" applyBorder="1" applyAlignment="1">
      <alignment horizontal="left" vertical="center" wrapText="1"/>
    </xf>
    <xf numFmtId="0" fontId="9" fillId="0" borderId="14" xfId="0" applyFont="1" applyBorder="1" applyAlignment="1">
      <alignment horizontal="center"/>
    </xf>
    <xf numFmtId="0" fontId="9" fillId="0" borderId="36" xfId="0" applyFont="1" applyBorder="1" applyAlignment="1">
      <alignment horizontal="center"/>
    </xf>
    <xf numFmtId="0" fontId="9" fillId="0" borderId="71" xfId="0" applyFont="1" applyBorder="1" applyAlignment="1">
      <alignment wrapText="1"/>
    </xf>
    <xf numFmtId="0" fontId="9" fillId="0" borderId="39" xfId="0" applyFont="1" applyBorder="1" applyAlignment="1">
      <alignment horizontal="center"/>
    </xf>
    <xf numFmtId="0" fontId="9" fillId="0" borderId="38" xfId="0" applyFont="1" applyBorder="1" applyAlignment="1">
      <alignment horizontal="center"/>
    </xf>
    <xf numFmtId="0" fontId="9" fillId="0" borderId="96" xfId="0" applyFont="1" applyBorder="1" applyAlignment="1">
      <alignment vertical="center" wrapText="1"/>
    </xf>
    <xf numFmtId="0" fontId="0" fillId="0" borderId="22" xfId="0" applyBorder="1"/>
    <xf numFmtId="0" fontId="9" fillId="0" borderId="39" xfId="0" applyFont="1" applyBorder="1" applyAlignment="1">
      <alignment horizontal="center" vertical="center"/>
    </xf>
    <xf numFmtId="0" fontId="9" fillId="0" borderId="38" xfId="0" applyFont="1" applyBorder="1" applyAlignment="1">
      <alignment horizontal="center" vertical="center"/>
    </xf>
    <xf numFmtId="0" fontId="9" fillId="0" borderId="14" xfId="0" applyFont="1" applyBorder="1" applyAlignment="1">
      <alignment horizontal="center" vertical="center"/>
    </xf>
    <xf numFmtId="0" fontId="9" fillId="0" borderId="36" xfId="0" applyFont="1" applyBorder="1" applyAlignment="1">
      <alignment horizontal="center" vertical="center"/>
    </xf>
    <xf numFmtId="0" fontId="9" fillId="0" borderId="70" xfId="0" applyFont="1" applyBorder="1" applyAlignment="1">
      <alignment vertical="center" wrapText="1"/>
    </xf>
    <xf numFmtId="2" fontId="0" fillId="0" borderId="48" xfId="0" applyNumberFormat="1" applyBorder="1"/>
    <xf numFmtId="3" fontId="0" fillId="0" borderId="48" xfId="0" quotePrefix="1" applyNumberFormat="1" applyBorder="1"/>
    <xf numFmtId="49" fontId="0" fillId="5" borderId="33" xfId="0" applyNumberFormat="1" applyFill="1" applyBorder="1" applyAlignment="1" applyProtection="1">
      <alignment horizontal="left"/>
      <protection locked="0"/>
    </xf>
    <xf numFmtId="49" fontId="0" fillId="5" borderId="34" xfId="0" applyNumberFormat="1" applyFill="1" applyBorder="1" applyAlignment="1" applyProtection="1">
      <alignment horizontal="left"/>
      <protection locked="0"/>
    </xf>
    <xf numFmtId="49" fontId="0" fillId="5" borderId="33" xfId="0" applyNumberFormat="1" applyFill="1" applyBorder="1" applyAlignment="1" applyProtection="1">
      <alignment horizontal="center"/>
      <protection locked="0"/>
    </xf>
    <xf numFmtId="49" fontId="0" fillId="5" borderId="35" xfId="0" applyNumberFormat="1" applyFill="1" applyBorder="1" applyAlignment="1" applyProtection="1">
      <alignment horizontal="center"/>
      <protection locked="0"/>
    </xf>
    <xf numFmtId="49" fontId="0" fillId="5" borderId="30" xfId="0" applyNumberFormat="1" applyFill="1" applyBorder="1" applyAlignment="1" applyProtection="1">
      <alignment horizontal="center"/>
      <protection locked="0"/>
    </xf>
    <xf numFmtId="49" fontId="0" fillId="5" borderId="32" xfId="0" applyNumberFormat="1" applyFill="1" applyBorder="1" applyAlignment="1" applyProtection="1">
      <alignment horizontal="center"/>
      <protection locked="0"/>
    </xf>
    <xf numFmtId="49" fontId="0" fillId="5" borderId="30" xfId="0" applyNumberFormat="1" applyFill="1" applyBorder="1" applyAlignment="1" applyProtection="1">
      <alignment horizontal="left"/>
      <protection locked="0"/>
    </xf>
    <xf numFmtId="49" fontId="0" fillId="5" borderId="31" xfId="0" applyNumberFormat="1" applyFill="1" applyBorder="1" applyAlignment="1" applyProtection="1">
      <alignment horizontal="left"/>
      <protection locked="0"/>
    </xf>
    <xf numFmtId="49" fontId="0" fillId="5" borderId="27" xfId="0" applyNumberFormat="1" applyFill="1" applyBorder="1" applyAlignment="1" applyProtection="1">
      <alignment horizontal="left"/>
      <protection locked="0"/>
    </xf>
    <xf numFmtId="49" fontId="0" fillId="5" borderId="28" xfId="0" applyNumberFormat="1" applyFill="1" applyBorder="1" applyAlignment="1" applyProtection="1">
      <alignment horizontal="left"/>
      <protection locked="0"/>
    </xf>
    <xf numFmtId="49" fontId="0" fillId="5" borderId="27" xfId="0" applyNumberFormat="1" applyFill="1" applyBorder="1" applyAlignment="1" applyProtection="1">
      <alignment horizontal="center"/>
      <protection locked="0"/>
    </xf>
    <xf numFmtId="49" fontId="0" fillId="5" borderId="29" xfId="0" applyNumberFormat="1" applyFill="1" applyBorder="1" applyAlignment="1" applyProtection="1">
      <alignment horizontal="center"/>
      <protection locked="0"/>
    </xf>
    <xf numFmtId="0" fontId="12" fillId="0" borderId="0" xfId="0" applyFont="1" applyAlignment="1">
      <alignment horizontal="center"/>
    </xf>
    <xf numFmtId="0" fontId="2" fillId="0" borderId="25"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26" xfId="0" applyFont="1" applyBorder="1" applyAlignment="1">
      <alignment horizontal="center"/>
    </xf>
    <xf numFmtId="0" fontId="2" fillId="0" borderId="10" xfId="0" applyFont="1" applyBorder="1" applyAlignment="1">
      <alignment horizontal="center"/>
    </xf>
    <xf numFmtId="0" fontId="0" fillId="0" borderId="1" xfId="0" applyBorder="1" applyAlignment="1">
      <alignment horizontal="center"/>
    </xf>
    <xf numFmtId="0" fontId="2" fillId="0" borderId="40" xfId="0" applyFont="1" applyBorder="1" applyAlignment="1">
      <alignment horizontal="center"/>
    </xf>
    <xf numFmtId="0" fontId="2" fillId="0" borderId="56" xfId="0" applyFont="1" applyBorder="1" applyAlignment="1">
      <alignment horizontal="center"/>
    </xf>
    <xf numFmtId="0" fontId="2" fillId="12" borderId="43" xfId="0" applyFont="1" applyFill="1" applyBorder="1" applyAlignment="1">
      <alignment horizontal="center"/>
    </xf>
    <xf numFmtId="0" fontId="2" fillId="12" borderId="51" xfId="0" applyFont="1" applyFill="1" applyBorder="1" applyAlignment="1">
      <alignment horizontal="center"/>
    </xf>
    <xf numFmtId="0" fontId="2" fillId="12" borderId="44" xfId="0" applyFont="1" applyFill="1" applyBorder="1" applyAlignment="1">
      <alignment horizontal="center"/>
    </xf>
    <xf numFmtId="0" fontId="2" fillId="12" borderId="52" xfId="0" applyFont="1" applyFill="1" applyBorder="1" applyAlignment="1">
      <alignment horizontal="center"/>
    </xf>
    <xf numFmtId="0" fontId="13" fillId="0" borderId="30" xfId="0" applyFont="1" applyBorder="1" applyAlignment="1">
      <alignment horizontal="center"/>
    </xf>
    <xf numFmtId="0" fontId="13" fillId="0" borderId="81" xfId="0" applyFont="1" applyBorder="1" applyAlignment="1">
      <alignment horizontal="center"/>
    </xf>
    <xf numFmtId="0" fontId="2" fillId="7" borderId="57" xfId="0" applyFont="1" applyFill="1" applyBorder="1" applyAlignment="1">
      <alignment horizontal="center"/>
    </xf>
    <xf numFmtId="0" fontId="2" fillId="7" borderId="58" xfId="0" applyFont="1" applyFill="1" applyBorder="1" applyAlignment="1">
      <alignment horizontal="center"/>
    </xf>
    <xf numFmtId="0" fontId="2" fillId="7" borderId="59" xfId="0" applyFont="1" applyFill="1" applyBorder="1" applyAlignment="1">
      <alignment horizontal="center"/>
    </xf>
    <xf numFmtId="0" fontId="2" fillId="0" borderId="50" xfId="0" applyFont="1" applyBorder="1" applyAlignment="1">
      <alignment horizontal="center" wrapText="1"/>
    </xf>
    <xf numFmtId="0" fontId="2" fillId="0" borderId="15" xfId="0" applyFont="1" applyBorder="1" applyAlignment="1">
      <alignment horizontal="center" wrapText="1"/>
    </xf>
    <xf numFmtId="0" fontId="2" fillId="11" borderId="60" xfId="0" applyFont="1" applyFill="1" applyBorder="1" applyAlignment="1">
      <alignment horizontal="center"/>
    </xf>
    <xf numFmtId="0" fontId="2" fillId="11" borderId="58" xfId="0" applyFont="1" applyFill="1" applyBorder="1" applyAlignment="1">
      <alignment horizontal="center"/>
    </xf>
    <xf numFmtId="0" fontId="2" fillId="11" borderId="59" xfId="0" applyFont="1" applyFill="1" applyBorder="1" applyAlignment="1">
      <alignment horizontal="center"/>
    </xf>
    <xf numFmtId="0" fontId="2" fillId="12" borderId="53" xfId="0" applyFont="1" applyFill="1" applyBorder="1" applyAlignment="1">
      <alignment horizontal="center"/>
    </xf>
    <xf numFmtId="0" fontId="2" fillId="12" borderId="54" xfId="0" applyFont="1" applyFill="1" applyBorder="1" applyAlignment="1">
      <alignment horizontal="center"/>
    </xf>
    <xf numFmtId="0" fontId="2" fillId="5" borderId="80" xfId="0" applyFont="1" applyFill="1" applyBorder="1" applyAlignment="1" applyProtection="1">
      <alignment horizontal="center"/>
      <protection locked="0"/>
    </xf>
    <xf numFmtId="0" fontId="2" fillId="5" borderId="77" xfId="0" applyFont="1" applyFill="1" applyBorder="1" applyAlignment="1" applyProtection="1">
      <alignment horizontal="center"/>
      <protection locked="0"/>
    </xf>
    <xf numFmtId="4" fontId="0" fillId="5" borderId="1" xfId="0" applyNumberFormat="1" applyFill="1" applyBorder="1" applyProtection="1">
      <protection locked="0"/>
    </xf>
    <xf numFmtId="0" fontId="9" fillId="5" borderId="65" xfId="0" applyFont="1" applyFill="1" applyBorder="1" applyAlignment="1" applyProtection="1">
      <alignment horizontal="center" vertical="center"/>
      <protection locked="0"/>
    </xf>
    <xf numFmtId="0" fontId="9" fillId="5" borderId="96" xfId="0" applyFont="1" applyFill="1" applyBorder="1" applyAlignment="1" applyProtection="1">
      <alignment horizontal="center" vertical="center"/>
      <protection locked="0"/>
    </xf>
    <xf numFmtId="0" fontId="9" fillId="5" borderId="73" xfId="0" applyFont="1" applyFill="1" applyBorder="1" applyAlignment="1" applyProtection="1">
      <alignment horizontal="center" vertical="center"/>
      <protection locked="0"/>
    </xf>
    <xf numFmtId="0" fontId="9" fillId="5" borderId="64" xfId="0" applyFont="1" applyFill="1" applyBorder="1" applyAlignment="1" applyProtection="1">
      <alignment horizontal="center" vertical="center"/>
      <protection locked="0"/>
    </xf>
    <xf numFmtId="3" fontId="0" fillId="5" borderId="48" xfId="0" applyNumberFormat="1" applyFill="1" applyBorder="1" applyAlignment="1" applyProtection="1">
      <alignment horizontal="center"/>
      <protection locked="0"/>
    </xf>
  </cellXfs>
  <cellStyles count="1">
    <cellStyle name="Normal" xfId="0" builtinId="0"/>
  </cellStyles>
  <dxfs count="6">
    <dxf>
      <font>
        <color rgb="FFFF0000"/>
      </font>
    </dxf>
    <dxf>
      <font>
        <color rgb="FFFF0000"/>
      </font>
    </dxf>
    <dxf>
      <font>
        <color rgb="FFFF0000"/>
      </font>
    </dxf>
    <dxf>
      <font>
        <color rgb="FFFF0000"/>
      </font>
    </dxf>
    <dxf>
      <font>
        <color rgb="FF9C0006"/>
      </font>
      <fill>
        <patternFill>
          <bgColor rgb="FFFFC7CE"/>
        </patternFill>
      </fill>
    </dxf>
    <dxf>
      <fill>
        <patternFill patternType="none">
          <bgColor auto="1"/>
        </patternFill>
      </fill>
    </dxf>
  </dxfs>
  <tableStyles count="0" defaultTableStyle="TableStyleMedium2" defaultPivotStyle="PivotStyleLight16"/>
  <colors>
    <mruColors>
      <color rgb="FF0000FF"/>
      <color rgb="FFCDCDCD"/>
      <color rgb="FFCFCF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Drop" dropStyle="combo" dx="22" fmlaLink="Z9" fmlaRange="V10:V60"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447675</xdr:colOff>
          <xdr:row>17</xdr:row>
          <xdr:rowOff>190500</xdr:rowOff>
        </xdr:from>
        <xdr:to>
          <xdr:col>13</xdr:col>
          <xdr:colOff>142875</xdr:colOff>
          <xdr:row>18</xdr:row>
          <xdr:rowOff>190500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7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8.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ADD06-4D36-4FC0-8684-92C6EE61E264}">
  <sheetPr>
    <tabColor rgb="FFFFC000"/>
  </sheetPr>
  <dimension ref="A2:P52"/>
  <sheetViews>
    <sheetView showGridLines="0" tabSelected="1" workbookViewId="0">
      <selection activeCell="AT2" sqref="AT2"/>
    </sheetView>
  </sheetViews>
  <sheetFormatPr defaultRowHeight="15" x14ac:dyDescent="0.25"/>
  <sheetData>
    <row r="2" spans="1:16" x14ac:dyDescent="0.25">
      <c r="A2" s="50" t="s">
        <v>0</v>
      </c>
      <c r="B2" s="38"/>
      <c r="C2" s="38"/>
      <c r="E2" s="1" t="s">
        <v>254</v>
      </c>
    </row>
    <row r="3" spans="1:16" x14ac:dyDescent="0.25">
      <c r="E3" s="2" t="s">
        <v>7</v>
      </c>
    </row>
    <row r="4" spans="1:16" x14ac:dyDescent="0.25">
      <c r="E4" s="2" t="s">
        <v>255</v>
      </c>
    </row>
    <row r="5" spans="1:16" x14ac:dyDescent="0.25">
      <c r="E5" s="2"/>
    </row>
    <row r="6" spans="1:16" x14ac:dyDescent="0.25">
      <c r="E6" s="2"/>
    </row>
    <row r="9" spans="1:16" x14ac:dyDescent="0.25">
      <c r="A9" s="1" t="s">
        <v>92</v>
      </c>
      <c r="D9" s="1" t="s">
        <v>1</v>
      </c>
      <c r="L9" s="1" t="s">
        <v>2</v>
      </c>
    </row>
    <row r="10" spans="1:16" x14ac:dyDescent="0.25">
      <c r="A10" s="38"/>
      <c r="B10" s="38"/>
      <c r="C10" s="38"/>
      <c r="D10" s="38"/>
      <c r="E10" s="38"/>
      <c r="F10" s="38"/>
      <c r="G10" s="38"/>
      <c r="H10" s="38"/>
      <c r="I10" s="38"/>
      <c r="J10" s="38"/>
      <c r="L10" t="s">
        <v>90</v>
      </c>
    </row>
    <row r="11" spans="1:16" x14ac:dyDescent="0.25">
      <c r="A11" s="49" t="s">
        <v>3</v>
      </c>
      <c r="B11" s="38"/>
      <c r="C11" s="38"/>
      <c r="D11" s="49" t="s">
        <v>111</v>
      </c>
      <c r="E11" s="38"/>
      <c r="F11" s="38"/>
      <c r="G11" s="38"/>
      <c r="H11" s="38"/>
      <c r="I11" s="38"/>
      <c r="J11" s="38"/>
      <c r="L11" t="s">
        <v>16</v>
      </c>
    </row>
    <row r="12" spans="1:16" x14ac:dyDescent="0.25">
      <c r="A12" s="3"/>
      <c r="B12" s="3"/>
      <c r="C12" s="3"/>
      <c r="D12" s="3"/>
      <c r="E12" s="3"/>
      <c r="F12" s="3"/>
      <c r="G12" s="3"/>
      <c r="H12" s="3"/>
      <c r="I12" s="3"/>
      <c r="J12" s="3"/>
      <c r="L12" t="s">
        <v>18</v>
      </c>
    </row>
    <row r="13" spans="1:16" x14ac:dyDescent="0.25">
      <c r="A13" s="4" t="s">
        <v>8</v>
      </c>
      <c r="B13" s="4"/>
      <c r="C13" s="4"/>
      <c r="D13" s="4" t="s">
        <v>110</v>
      </c>
      <c r="E13" s="4"/>
      <c r="F13" s="4"/>
      <c r="G13" s="3"/>
      <c r="H13" s="3"/>
      <c r="I13" s="3"/>
      <c r="J13" s="3"/>
      <c r="L13" s="34" t="s">
        <v>19</v>
      </c>
    </row>
    <row r="14" spans="1:16" x14ac:dyDescent="0.25">
      <c r="A14" s="5"/>
      <c r="B14" s="5"/>
      <c r="C14" s="5"/>
      <c r="D14" s="5"/>
      <c r="E14" s="5"/>
      <c r="F14" s="5"/>
      <c r="G14" s="5"/>
      <c r="H14" s="5"/>
      <c r="I14" s="5"/>
      <c r="J14" s="5"/>
      <c r="L14" t="s">
        <v>17</v>
      </c>
      <c r="P14" s="57"/>
    </row>
    <row r="15" spans="1:16" x14ac:dyDescent="0.25">
      <c r="A15" s="6" t="s">
        <v>112</v>
      </c>
      <c r="B15" s="6"/>
      <c r="C15" s="6"/>
      <c r="D15" s="6" t="s">
        <v>109</v>
      </c>
      <c r="E15" s="6"/>
      <c r="F15" s="6"/>
      <c r="G15" s="5"/>
      <c r="H15" s="5"/>
      <c r="I15" s="5"/>
      <c r="J15" s="5"/>
      <c r="L15" s="1" t="s">
        <v>4</v>
      </c>
    </row>
    <row r="16" spans="1:16" x14ac:dyDescent="0.25">
      <c r="A16" s="37"/>
      <c r="B16" s="37"/>
      <c r="C16" s="37"/>
      <c r="D16" s="37"/>
      <c r="E16" s="37"/>
      <c r="F16" s="37"/>
      <c r="G16" s="37"/>
      <c r="H16" s="37"/>
      <c r="I16" s="37"/>
      <c r="J16" s="37"/>
      <c r="L16" t="s">
        <v>12</v>
      </c>
    </row>
    <row r="17" spans="1:12" x14ac:dyDescent="0.25">
      <c r="A17" s="37" t="s">
        <v>10</v>
      </c>
      <c r="B17" s="37"/>
      <c r="C17" s="37"/>
      <c r="D17" s="37" t="s">
        <v>108</v>
      </c>
      <c r="E17" s="37"/>
      <c r="F17" s="37"/>
      <c r="G17" s="37"/>
      <c r="H17" s="37"/>
      <c r="I17" s="37"/>
      <c r="J17" s="37"/>
      <c r="L17" t="s">
        <v>13</v>
      </c>
    </row>
    <row r="18" spans="1:12" x14ac:dyDescent="0.25">
      <c r="A18" s="35"/>
      <c r="B18" s="35"/>
      <c r="C18" s="35"/>
      <c r="D18" s="35"/>
      <c r="E18" s="35"/>
      <c r="F18" s="35"/>
      <c r="G18" s="35"/>
      <c r="H18" s="35"/>
      <c r="I18" s="35"/>
      <c r="J18" s="35"/>
      <c r="L18" t="s">
        <v>15</v>
      </c>
    </row>
    <row r="19" spans="1:12" x14ac:dyDescent="0.25">
      <c r="A19" s="35" t="s">
        <v>113</v>
      </c>
      <c r="B19" s="35"/>
      <c r="C19" s="35"/>
      <c r="D19" s="35" t="s">
        <v>107</v>
      </c>
      <c r="E19" s="35"/>
      <c r="F19" s="35"/>
      <c r="G19" s="35"/>
      <c r="H19" s="35"/>
      <c r="I19" s="35"/>
      <c r="J19" s="35"/>
    </row>
    <row r="20" spans="1:12" x14ac:dyDescent="0.25">
      <c r="A20" s="36"/>
      <c r="B20" s="36"/>
      <c r="C20" s="36"/>
      <c r="D20" s="36"/>
      <c r="E20" s="36"/>
      <c r="F20" s="36"/>
      <c r="G20" s="36"/>
      <c r="H20" s="36"/>
      <c r="I20" s="36"/>
      <c r="J20" s="36"/>
      <c r="L20" s="1" t="s">
        <v>5</v>
      </c>
    </row>
    <row r="21" spans="1:12" x14ac:dyDescent="0.25">
      <c r="A21" s="51" t="s">
        <v>11</v>
      </c>
      <c r="B21" s="51"/>
      <c r="C21" s="36"/>
      <c r="D21" s="51" t="s">
        <v>106</v>
      </c>
      <c r="E21" s="36"/>
      <c r="F21" s="36"/>
      <c r="G21" s="36"/>
      <c r="H21" s="36"/>
      <c r="I21" s="36"/>
      <c r="J21" s="36"/>
      <c r="L21" t="s">
        <v>14</v>
      </c>
    </row>
    <row r="22" spans="1:12" x14ac:dyDescent="0.25">
      <c r="A22" s="7"/>
      <c r="D22" s="7"/>
      <c r="L22" t="s">
        <v>252</v>
      </c>
    </row>
    <row r="23" spans="1:12" x14ac:dyDescent="0.25">
      <c r="L23" t="s">
        <v>253</v>
      </c>
    </row>
    <row r="25" spans="1:12" x14ac:dyDescent="0.25">
      <c r="L25" s="1" t="s">
        <v>6</v>
      </c>
    </row>
    <row r="26" spans="1:12" x14ac:dyDescent="0.25">
      <c r="L26" t="s">
        <v>159</v>
      </c>
    </row>
    <row r="52" spans="1:1" x14ac:dyDescent="0.25">
      <c r="A52" s="57"/>
    </row>
  </sheetData>
  <sheetProtection algorithmName="SHA-512" hashValue="vOu+1fYmc8eoZceL9cF5hU755ubs19JlLTGJthZLy+P0mEBx92RuuF5OM9BupkjCDJMdD+DYVIDmrjpjFMC2wA==" saltValue="34S8LUs91sC3OkmekcD50w==" spinCount="100000" sheet="1" objects="1" scenarios="1" selectLockedCells="1" selectUnlockedCells="1"/>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99D7C-7C22-4B8B-B992-9E46B33A479A}">
  <sheetPr>
    <tabColor rgb="FF0000FF"/>
    <pageSetUpPr fitToPage="1"/>
  </sheetPr>
  <dimension ref="A2:AF60"/>
  <sheetViews>
    <sheetView showGridLines="0" workbookViewId="0">
      <selection activeCell="B21" sqref="B21:F21"/>
    </sheetView>
  </sheetViews>
  <sheetFormatPr defaultRowHeight="15" x14ac:dyDescent="0.25"/>
  <cols>
    <col min="1" max="1" width="10" customWidth="1"/>
    <col min="2" max="2" width="11.7109375" customWidth="1"/>
    <col min="3" max="3" width="12" customWidth="1"/>
    <col min="4" max="4" width="11.42578125" customWidth="1"/>
    <col min="10" max="15" width="10.7109375" customWidth="1"/>
    <col min="17" max="20" width="9.140625" customWidth="1"/>
  </cols>
  <sheetData>
    <row r="2" spans="1:32" x14ac:dyDescent="0.25">
      <c r="A2" s="8" t="s">
        <v>8</v>
      </c>
      <c r="B2" s="9"/>
      <c r="C2" s="10"/>
    </row>
    <row r="4" spans="1:32" x14ac:dyDescent="0.25">
      <c r="A4" s="77" t="s">
        <v>104</v>
      </c>
      <c r="N4" s="30"/>
    </row>
    <row r="5" spans="1:32" x14ac:dyDescent="0.25">
      <c r="A5" s="77" t="s">
        <v>114</v>
      </c>
      <c r="N5" s="30"/>
    </row>
    <row r="6" spans="1:32" x14ac:dyDescent="0.25">
      <c r="J6" s="1" t="s">
        <v>165</v>
      </c>
      <c r="S6" s="56" t="s">
        <v>163</v>
      </c>
      <c r="Y6" s="47"/>
      <c r="Z6" s="47"/>
      <c r="AA6" s="47"/>
      <c r="AB6" s="47"/>
      <c r="AC6" s="47"/>
      <c r="AD6" s="47"/>
      <c r="AE6" s="47"/>
      <c r="AF6" s="47"/>
    </row>
    <row r="7" spans="1:32" ht="15.75" thickBot="1" x14ac:dyDescent="0.3">
      <c r="A7" t="s">
        <v>236</v>
      </c>
      <c r="X7" s="67"/>
      <c r="Y7" s="239"/>
      <c r="Z7" s="239"/>
      <c r="AA7" s="239"/>
      <c r="AB7" s="239"/>
      <c r="AC7" s="239"/>
      <c r="AD7" s="239"/>
      <c r="AE7" s="239"/>
      <c r="AF7" s="239"/>
    </row>
    <row r="8" spans="1:32" ht="15.75" thickTop="1" x14ac:dyDescent="0.25">
      <c r="A8" t="s">
        <v>240</v>
      </c>
      <c r="J8" s="15"/>
      <c r="K8" s="16" t="s">
        <v>91</v>
      </c>
      <c r="L8" s="16" t="s">
        <v>174</v>
      </c>
      <c r="M8" s="16" t="s">
        <v>22</v>
      </c>
      <c r="N8" s="16" t="s">
        <v>23</v>
      </c>
      <c r="O8" s="17" t="s">
        <v>91</v>
      </c>
      <c r="S8" s="21" t="s">
        <v>24</v>
      </c>
      <c r="T8" s="17" t="s">
        <v>118</v>
      </c>
      <c r="U8" s="46"/>
      <c r="X8" s="67"/>
      <c r="Y8" s="239" t="s">
        <v>22</v>
      </c>
      <c r="Z8" s="239"/>
      <c r="AA8" s="239"/>
      <c r="AB8" s="239"/>
      <c r="AC8" s="239" t="s">
        <v>23</v>
      </c>
      <c r="AD8" s="239"/>
      <c r="AE8" s="239"/>
      <c r="AF8" s="239"/>
    </row>
    <row r="9" spans="1:32" ht="15.75" thickBot="1" x14ac:dyDescent="0.3">
      <c r="A9" t="s">
        <v>241</v>
      </c>
      <c r="J9" s="18" t="s">
        <v>21</v>
      </c>
      <c r="K9" s="19" t="s">
        <v>80</v>
      </c>
      <c r="L9" s="19" t="s">
        <v>175</v>
      </c>
      <c r="M9" s="19" t="s">
        <v>25</v>
      </c>
      <c r="N9" s="19" t="s">
        <v>25</v>
      </c>
      <c r="O9" s="20" t="s">
        <v>9</v>
      </c>
      <c r="P9" s="137" t="s">
        <v>176</v>
      </c>
      <c r="S9" s="22" t="s">
        <v>53</v>
      </c>
      <c r="T9" s="20" t="s">
        <v>53</v>
      </c>
      <c r="U9" s="46"/>
      <c r="V9" s="125" t="s">
        <v>168</v>
      </c>
      <c r="X9" s="67"/>
      <c r="Y9" s="68" t="s">
        <v>40</v>
      </c>
      <c r="Z9" s="68" t="s">
        <v>41</v>
      </c>
      <c r="AA9" s="68" t="s">
        <v>42</v>
      </c>
      <c r="AB9" s="68" t="s">
        <v>43</v>
      </c>
      <c r="AC9" s="68" t="s">
        <v>40</v>
      </c>
      <c r="AD9" s="68" t="s">
        <v>41</v>
      </c>
      <c r="AE9" s="68" t="s">
        <v>42</v>
      </c>
      <c r="AF9" s="68" t="s">
        <v>43</v>
      </c>
    </row>
    <row r="10" spans="1:32" ht="15.75" thickTop="1" x14ac:dyDescent="0.25">
      <c r="J10" s="13">
        <v>1</v>
      </c>
      <c r="K10" s="69" t="s">
        <v>29</v>
      </c>
      <c r="L10" s="120">
        <v>20</v>
      </c>
      <c r="M10" s="120">
        <v>350</v>
      </c>
      <c r="N10" s="120">
        <v>700</v>
      </c>
      <c r="O10" s="70">
        <v>1</v>
      </c>
      <c r="P10" s="30" t="str">
        <f>IF(M10&gt;N10, "   ERROR: Max &lt; Actual","")</f>
        <v/>
      </c>
      <c r="S10" s="160">
        <f>IF(OR(N10="",N10=0,M10="",M10=0),"",100*(M10/N10))</f>
        <v>50</v>
      </c>
      <c r="T10" s="161">
        <f>IF(O10="","",IF(U10="High",IF(OR(S10=0,S10="",S10&lt;26),"",(-43.68376 + 2.392249*S10 - 0.01333084*S10^2 + 0.00005588947*S10^3 - 0.000000181562*S10^4)),IF(U10="Mid",IF(OR(S10=0,S10="",S10&lt;36),"",(-56.34485 + 1.694407*S10 + 0.01042965*S10^2 - 0.0001824291*S10^3 + (6.501515/10000000)*S10^4)),IF(OR(S10=0,S10="",S10&lt;48),"",(-13.06002 - 2.321858*S10 + 0.09423105*S10^2 - 0.0008843781*S10^3 + 0.000002872627*S10^4)))))</f>
        <v>48.453011250000017</v>
      </c>
      <c r="U10" s="29" t="str">
        <f>IF(O10="","",IF(O10=1,$G$21,IF(O10=2,$G$22,IF(O10=3,$G$23,$G$24))))</f>
        <v>High</v>
      </c>
      <c r="V10" s="162" t="str">
        <f>IF(AND(S10&lt;&gt;"",T10="",O10&lt;&gt;""),"Remove","")</f>
        <v/>
      </c>
      <c r="W10" s="162" t="str">
        <f>IF(T10&lt;50,"Consolidate","")</f>
        <v>Consolidate</v>
      </c>
      <c r="X10" s="67"/>
      <c r="Y10" s="68">
        <f t="shared" ref="Y10:Y41" si="0">IF(O10=1,M10*L10,0)</f>
        <v>7000</v>
      </c>
      <c r="Z10" s="68">
        <f t="shared" ref="Z10:Z41" si="1">IF(O10=2,M10*L10,0)</f>
        <v>0</v>
      </c>
      <c r="AA10" s="68">
        <f t="shared" ref="AA10:AA41" si="2">IF(O10=3,M10*L10,0)</f>
        <v>0</v>
      </c>
      <c r="AB10" s="68">
        <f t="shared" ref="AB10:AB41" si="3">IF(O10=4,M10*L10,0)</f>
        <v>0</v>
      </c>
      <c r="AC10" s="68">
        <f t="shared" ref="AC10:AC41" si="4">IF(O10=1,N10*L10,0)</f>
        <v>14000</v>
      </c>
      <c r="AD10" s="68">
        <f t="shared" ref="AD10:AD41" si="5">IF(O10=2,N10*L10,0)</f>
        <v>0</v>
      </c>
      <c r="AE10" s="68">
        <f t="shared" ref="AE10:AE41" si="6">IF(O10=3,N10*L10,0)</f>
        <v>0</v>
      </c>
      <c r="AF10" s="68">
        <f t="shared" ref="AF10:AF41" si="7">IF(O10=4,N10*L10,0)</f>
        <v>0</v>
      </c>
    </row>
    <row r="11" spans="1:32" x14ac:dyDescent="0.25">
      <c r="A11" t="s">
        <v>239</v>
      </c>
      <c r="J11" s="14">
        <v>2</v>
      </c>
      <c r="K11" s="71" t="s">
        <v>30</v>
      </c>
      <c r="L11" s="121">
        <v>4</v>
      </c>
      <c r="M11" s="121">
        <v>400</v>
      </c>
      <c r="N11" s="121">
        <v>500</v>
      </c>
      <c r="O11" s="72">
        <v>4</v>
      </c>
      <c r="P11" s="30" t="str">
        <f t="shared" ref="P11:P59" si="8">IF(M11&gt;N11, "   ERROR: Max &lt; Actual","")</f>
        <v/>
      </c>
      <c r="S11" s="154">
        <f t="shared" ref="S11:S59" si="9">IF(OR(N11="",N11=0,M11="",M11=0),"",100*(M11/N11))</f>
        <v>80</v>
      </c>
      <c r="T11" s="155">
        <f t="shared" ref="T11:T59" si="10">IF(O11="","",IF(U11="High",IF(OR(S11=0,S11="",S11&lt;26),"",(-43.68376 + 2.392249*S11 - 0.01333084*S11^2 + 0.00005588947*S11^3 - 0.000000181562*S11^4)),IF(U11="Mid",IF(OR(S11=0,S11="",S11&lt;36),"",(-56.34485 + 1.694407*S11 + 0.01042965*S11^2 - 0.0001824291*S11^3 + (6.501515/10000000)*S11^4)),IF(OR(S11=0,S11="",S11&lt;48),"",(-13.06002 - 2.321858*S11 + 0.09423105*S11^2 - 0.0008843781*S11^3 + 0.000002872627*S11^4)))))</f>
        <v>79.183976240000021</v>
      </c>
      <c r="U11" s="29" t="str">
        <f t="shared" ref="U11:U59" si="11">IF(O11="","",IF(O11=1,$G$21,IF(O11=2,$G$22,IF(O11=3,$G$23,$G$24))))</f>
        <v>Mid</v>
      </c>
      <c r="V11" s="162" t="str">
        <f t="shared" ref="V11:V59" si="12">IF(AND(S11&lt;&gt;"",T11="",O11&lt;&gt;""),"Remove","")</f>
        <v/>
      </c>
      <c r="W11" s="162" t="str">
        <f t="shared" ref="W11:W59" si="13">IF(T11&lt;50,"Consolidate","")</f>
        <v/>
      </c>
      <c r="X11" s="67"/>
      <c r="Y11" s="68">
        <f t="shared" si="0"/>
        <v>0</v>
      </c>
      <c r="Z11" s="68">
        <f t="shared" si="1"/>
        <v>0</v>
      </c>
      <c r="AA11" s="68">
        <f t="shared" si="2"/>
        <v>0</v>
      </c>
      <c r="AB11" s="68">
        <f t="shared" si="3"/>
        <v>1600</v>
      </c>
      <c r="AC11" s="68">
        <f t="shared" si="4"/>
        <v>0</v>
      </c>
      <c r="AD11" s="68">
        <f t="shared" si="5"/>
        <v>0</v>
      </c>
      <c r="AE11" s="68">
        <f t="shared" si="6"/>
        <v>0</v>
      </c>
      <c r="AF11" s="68">
        <f t="shared" si="7"/>
        <v>2000</v>
      </c>
    </row>
    <row r="12" spans="1:32" x14ac:dyDescent="0.25">
      <c r="A12" t="s">
        <v>237</v>
      </c>
      <c r="J12" s="14">
        <v>3</v>
      </c>
      <c r="K12" s="71" t="s">
        <v>31</v>
      </c>
      <c r="L12" s="121">
        <v>5</v>
      </c>
      <c r="M12" s="121">
        <v>800</v>
      </c>
      <c r="N12" s="121">
        <v>2000</v>
      </c>
      <c r="O12" s="72">
        <v>2</v>
      </c>
      <c r="P12" s="30" t="str">
        <f t="shared" si="8"/>
        <v/>
      </c>
      <c r="S12" s="154">
        <f t="shared" si="9"/>
        <v>40</v>
      </c>
      <c r="T12" s="155">
        <f t="shared" si="10"/>
        <v>33.788983360000003</v>
      </c>
      <c r="U12" s="29" t="str">
        <f t="shared" si="11"/>
        <v>High</v>
      </c>
      <c r="V12" s="162" t="str">
        <f t="shared" si="12"/>
        <v/>
      </c>
      <c r="W12" s="162" t="str">
        <f t="shared" si="13"/>
        <v>Consolidate</v>
      </c>
      <c r="X12" s="67"/>
      <c r="Y12" s="68">
        <f t="shared" si="0"/>
        <v>0</v>
      </c>
      <c r="Z12" s="68">
        <f t="shared" si="1"/>
        <v>4000</v>
      </c>
      <c r="AA12" s="68">
        <f t="shared" si="2"/>
        <v>0</v>
      </c>
      <c r="AB12" s="68">
        <f t="shared" si="3"/>
        <v>0</v>
      </c>
      <c r="AC12" s="68">
        <f t="shared" si="4"/>
        <v>0</v>
      </c>
      <c r="AD12" s="68">
        <f t="shared" si="5"/>
        <v>10000</v>
      </c>
      <c r="AE12" s="68">
        <f t="shared" si="6"/>
        <v>0</v>
      </c>
      <c r="AF12" s="68">
        <f t="shared" si="7"/>
        <v>0</v>
      </c>
    </row>
    <row r="13" spans="1:32" x14ac:dyDescent="0.25">
      <c r="J13" s="14">
        <v>4</v>
      </c>
      <c r="K13" s="71" t="s">
        <v>32</v>
      </c>
      <c r="L13" s="121">
        <v>1</v>
      </c>
      <c r="M13" s="121">
        <v>1200</v>
      </c>
      <c r="N13" s="121">
        <v>1800</v>
      </c>
      <c r="O13" s="72">
        <v>3</v>
      </c>
      <c r="P13" s="30" t="str">
        <f t="shared" si="8"/>
        <v/>
      </c>
      <c r="S13" s="154">
        <f t="shared" si="9"/>
        <v>66.666666666666657</v>
      </c>
      <c r="T13" s="155">
        <f t="shared" si="10"/>
        <v>61.759048765432091</v>
      </c>
      <c r="U13" s="29" t="str">
        <f t="shared" si="11"/>
        <v>Mid</v>
      </c>
      <c r="V13" s="162" t="str">
        <f t="shared" si="12"/>
        <v/>
      </c>
      <c r="W13" s="162" t="str">
        <f t="shared" si="13"/>
        <v/>
      </c>
      <c r="X13" s="67"/>
      <c r="Y13" s="68">
        <f t="shared" si="0"/>
        <v>0</v>
      </c>
      <c r="Z13" s="68">
        <f t="shared" si="1"/>
        <v>0</v>
      </c>
      <c r="AA13" s="68">
        <f t="shared" si="2"/>
        <v>1200</v>
      </c>
      <c r="AB13" s="68">
        <f t="shared" si="3"/>
        <v>0</v>
      </c>
      <c r="AC13" s="68">
        <f t="shared" si="4"/>
        <v>0</v>
      </c>
      <c r="AD13" s="68">
        <f t="shared" si="5"/>
        <v>0</v>
      </c>
      <c r="AE13" s="68">
        <f t="shared" si="6"/>
        <v>1800</v>
      </c>
      <c r="AF13" s="68">
        <f t="shared" si="7"/>
        <v>0</v>
      </c>
    </row>
    <row r="14" spans="1:32" x14ac:dyDescent="0.25">
      <c r="A14" t="s">
        <v>172</v>
      </c>
      <c r="J14" s="14">
        <v>5</v>
      </c>
      <c r="K14" s="71" t="s">
        <v>33</v>
      </c>
      <c r="L14" s="121">
        <v>8</v>
      </c>
      <c r="M14" s="121">
        <v>100</v>
      </c>
      <c r="N14" s="121">
        <v>500</v>
      </c>
      <c r="O14" s="72">
        <v>1</v>
      </c>
      <c r="P14" s="30" t="str">
        <f t="shared" si="8"/>
        <v/>
      </c>
      <c r="S14" s="154">
        <f t="shared" si="9"/>
        <v>20</v>
      </c>
      <c r="T14" s="155" t="str">
        <f t="shared" si="10"/>
        <v/>
      </c>
      <c r="U14" s="29" t="str">
        <f t="shared" si="11"/>
        <v>High</v>
      </c>
      <c r="V14" s="162" t="str">
        <f t="shared" si="12"/>
        <v>Remove</v>
      </c>
      <c r="W14" s="162" t="str">
        <f t="shared" si="13"/>
        <v/>
      </c>
      <c r="X14" s="67"/>
      <c r="Y14" s="68">
        <f t="shared" si="0"/>
        <v>800</v>
      </c>
      <c r="Z14" s="68">
        <f t="shared" si="1"/>
        <v>0</v>
      </c>
      <c r="AA14" s="68">
        <f t="shared" si="2"/>
        <v>0</v>
      </c>
      <c r="AB14" s="68">
        <f t="shared" si="3"/>
        <v>0</v>
      </c>
      <c r="AC14" s="68">
        <f t="shared" si="4"/>
        <v>4000</v>
      </c>
      <c r="AD14" s="68">
        <f t="shared" si="5"/>
        <v>0</v>
      </c>
      <c r="AE14" s="68">
        <f t="shared" si="6"/>
        <v>0</v>
      </c>
      <c r="AF14" s="68">
        <f t="shared" si="7"/>
        <v>0</v>
      </c>
    </row>
    <row r="15" spans="1:32" x14ac:dyDescent="0.25">
      <c r="J15" s="14">
        <v>6</v>
      </c>
      <c r="K15" s="71" t="s">
        <v>34</v>
      </c>
      <c r="L15" s="121">
        <v>10</v>
      </c>
      <c r="M15" s="121">
        <v>300</v>
      </c>
      <c r="N15" s="121">
        <v>320</v>
      </c>
      <c r="O15" s="72">
        <v>2</v>
      </c>
      <c r="P15" s="30" t="str">
        <f t="shared" si="8"/>
        <v/>
      </c>
      <c r="S15" s="154">
        <f t="shared" si="9"/>
        <v>93.75</v>
      </c>
      <c r="T15" s="155">
        <f t="shared" si="10"/>
        <v>95.450269708862308</v>
      </c>
      <c r="U15" s="29" t="str">
        <f t="shared" si="11"/>
        <v>High</v>
      </c>
      <c r="V15" s="162" t="str">
        <f t="shared" si="12"/>
        <v/>
      </c>
      <c r="W15" s="162" t="str">
        <f t="shared" si="13"/>
        <v/>
      </c>
      <c r="X15" s="67"/>
      <c r="Y15" s="68">
        <f t="shared" si="0"/>
        <v>0</v>
      </c>
      <c r="Z15" s="68">
        <f t="shared" si="1"/>
        <v>3000</v>
      </c>
      <c r="AA15" s="68">
        <f t="shared" si="2"/>
        <v>0</v>
      </c>
      <c r="AB15" s="68">
        <f t="shared" si="3"/>
        <v>0</v>
      </c>
      <c r="AC15" s="68">
        <f t="shared" si="4"/>
        <v>0</v>
      </c>
      <c r="AD15" s="68">
        <f t="shared" si="5"/>
        <v>3200</v>
      </c>
      <c r="AE15" s="68">
        <f t="shared" si="6"/>
        <v>0</v>
      </c>
      <c r="AF15" s="68">
        <f t="shared" si="7"/>
        <v>0</v>
      </c>
    </row>
    <row r="16" spans="1:32" x14ac:dyDescent="0.25">
      <c r="J16" s="14">
        <v>7</v>
      </c>
      <c r="K16" s="71" t="s">
        <v>35</v>
      </c>
      <c r="L16" s="121">
        <v>6</v>
      </c>
      <c r="M16" s="121">
        <v>400</v>
      </c>
      <c r="N16" s="121">
        <v>500</v>
      </c>
      <c r="O16" s="72">
        <v>4</v>
      </c>
      <c r="P16" s="30" t="str">
        <f t="shared" si="8"/>
        <v/>
      </c>
      <c r="S16" s="154">
        <f t="shared" si="9"/>
        <v>80</v>
      </c>
      <c r="T16" s="155">
        <f t="shared" si="10"/>
        <v>79.183976240000021</v>
      </c>
      <c r="U16" s="29" t="str">
        <f t="shared" si="11"/>
        <v>Mid</v>
      </c>
      <c r="V16" s="162" t="str">
        <f t="shared" si="12"/>
        <v/>
      </c>
      <c r="W16" s="162" t="str">
        <f t="shared" si="13"/>
        <v/>
      </c>
      <c r="X16" s="67"/>
      <c r="Y16" s="68">
        <f t="shared" si="0"/>
        <v>0</v>
      </c>
      <c r="Z16" s="68">
        <f t="shared" si="1"/>
        <v>0</v>
      </c>
      <c r="AA16" s="68">
        <f t="shared" si="2"/>
        <v>0</v>
      </c>
      <c r="AB16" s="68">
        <f t="shared" si="3"/>
        <v>2400</v>
      </c>
      <c r="AC16" s="68">
        <f t="shared" si="4"/>
        <v>0</v>
      </c>
      <c r="AD16" s="68">
        <f t="shared" si="5"/>
        <v>0</v>
      </c>
      <c r="AE16" s="68">
        <f t="shared" si="6"/>
        <v>0</v>
      </c>
      <c r="AF16" s="68">
        <f t="shared" si="7"/>
        <v>3000</v>
      </c>
    </row>
    <row r="17" spans="1:32" x14ac:dyDescent="0.25">
      <c r="A17" s="1" t="s">
        <v>164</v>
      </c>
      <c r="J17" s="14">
        <v>8</v>
      </c>
      <c r="K17" s="71" t="s">
        <v>36</v>
      </c>
      <c r="L17" s="121">
        <v>20</v>
      </c>
      <c r="M17" s="121">
        <v>500</v>
      </c>
      <c r="N17" s="121">
        <v>600</v>
      </c>
      <c r="O17" s="72">
        <v>3</v>
      </c>
      <c r="P17" s="30" t="str">
        <f t="shared" si="8"/>
        <v/>
      </c>
      <c r="S17" s="154">
        <f t="shared" si="9"/>
        <v>83.333333333333343</v>
      </c>
      <c r="T17" s="155">
        <f t="shared" si="10"/>
        <v>83.065219251543226</v>
      </c>
      <c r="U17" s="29" t="str">
        <f t="shared" si="11"/>
        <v>Mid</v>
      </c>
      <c r="V17" s="162" t="str">
        <f t="shared" si="12"/>
        <v/>
      </c>
      <c r="W17" s="162" t="str">
        <f t="shared" si="13"/>
        <v/>
      </c>
      <c r="X17" s="67"/>
      <c r="Y17" s="68">
        <f t="shared" si="0"/>
        <v>0</v>
      </c>
      <c r="Z17" s="68">
        <f t="shared" si="1"/>
        <v>0</v>
      </c>
      <c r="AA17" s="68">
        <f t="shared" si="2"/>
        <v>10000</v>
      </c>
      <c r="AB17" s="68">
        <f t="shared" si="3"/>
        <v>0</v>
      </c>
      <c r="AC17" s="68">
        <f t="shared" si="4"/>
        <v>0</v>
      </c>
      <c r="AD17" s="68">
        <f t="shared" si="5"/>
        <v>0</v>
      </c>
      <c r="AE17" s="68">
        <f t="shared" si="6"/>
        <v>12000</v>
      </c>
      <c r="AF17" s="68">
        <f t="shared" si="7"/>
        <v>0</v>
      </c>
    </row>
    <row r="18" spans="1:32" ht="15.75" thickBot="1" x14ac:dyDescent="0.3">
      <c r="J18" s="14">
        <v>9</v>
      </c>
      <c r="K18" s="71"/>
      <c r="L18" s="121"/>
      <c r="M18" s="121"/>
      <c r="N18" s="121"/>
      <c r="O18" s="72"/>
      <c r="P18" s="30" t="str">
        <f t="shared" si="8"/>
        <v/>
      </c>
      <c r="S18" s="154" t="str">
        <f t="shared" si="9"/>
        <v/>
      </c>
      <c r="T18" s="155" t="str">
        <f t="shared" si="10"/>
        <v/>
      </c>
      <c r="U18" s="29" t="str">
        <f t="shared" si="11"/>
        <v/>
      </c>
      <c r="V18" s="162" t="str">
        <f t="shared" si="12"/>
        <v/>
      </c>
      <c r="W18" s="162" t="str">
        <f t="shared" si="13"/>
        <v/>
      </c>
      <c r="X18" s="67"/>
      <c r="Y18" s="68">
        <f t="shared" si="0"/>
        <v>0</v>
      </c>
      <c r="Z18" s="68">
        <f t="shared" si="1"/>
        <v>0</v>
      </c>
      <c r="AA18" s="68">
        <f t="shared" si="2"/>
        <v>0</v>
      </c>
      <c r="AB18" s="68">
        <f t="shared" si="3"/>
        <v>0</v>
      </c>
      <c r="AC18" s="68">
        <f t="shared" si="4"/>
        <v>0</v>
      </c>
      <c r="AD18" s="68">
        <f t="shared" si="5"/>
        <v>0</v>
      </c>
      <c r="AE18" s="68">
        <f t="shared" si="6"/>
        <v>0</v>
      </c>
      <c r="AF18" s="68">
        <f t="shared" si="7"/>
        <v>0</v>
      </c>
    </row>
    <row r="19" spans="1:32" ht="15.75" thickTop="1" x14ac:dyDescent="0.25">
      <c r="A19" s="21" t="s">
        <v>91</v>
      </c>
      <c r="B19" s="240" t="s">
        <v>1</v>
      </c>
      <c r="C19" s="241"/>
      <c r="D19" s="241"/>
      <c r="E19" s="241"/>
      <c r="F19" s="241"/>
      <c r="G19" s="240" t="s">
        <v>24</v>
      </c>
      <c r="H19" s="242"/>
      <c r="J19" s="14">
        <v>10</v>
      </c>
      <c r="K19" s="71"/>
      <c r="L19" s="121"/>
      <c r="M19" s="121"/>
      <c r="N19" s="121"/>
      <c r="O19" s="72"/>
      <c r="P19" s="30" t="str">
        <f t="shared" si="8"/>
        <v/>
      </c>
      <c r="S19" s="154" t="str">
        <f t="shared" si="9"/>
        <v/>
      </c>
      <c r="T19" s="155" t="str">
        <f t="shared" si="10"/>
        <v/>
      </c>
      <c r="U19" s="29" t="str">
        <f t="shared" si="11"/>
        <v/>
      </c>
      <c r="V19" s="162" t="str">
        <f t="shared" si="12"/>
        <v/>
      </c>
      <c r="W19" s="162" t="str">
        <f t="shared" si="13"/>
        <v/>
      </c>
      <c r="X19" s="67"/>
      <c r="Y19" s="68">
        <f t="shared" si="0"/>
        <v>0</v>
      </c>
      <c r="Z19" s="68">
        <f t="shared" si="1"/>
        <v>0</v>
      </c>
      <c r="AA19" s="68">
        <f t="shared" si="2"/>
        <v>0</v>
      </c>
      <c r="AB19" s="68">
        <f t="shared" si="3"/>
        <v>0</v>
      </c>
      <c r="AC19" s="68">
        <f t="shared" si="4"/>
        <v>0</v>
      </c>
      <c r="AD19" s="68">
        <f t="shared" si="5"/>
        <v>0</v>
      </c>
      <c r="AE19" s="68">
        <f t="shared" si="6"/>
        <v>0</v>
      </c>
      <c r="AF19" s="68">
        <f t="shared" si="7"/>
        <v>0</v>
      </c>
    </row>
    <row r="20" spans="1:32" ht="15.75" thickBot="1" x14ac:dyDescent="0.3">
      <c r="A20" s="22" t="s">
        <v>9</v>
      </c>
      <c r="B20" s="91"/>
      <c r="C20" s="92"/>
      <c r="D20" s="92"/>
      <c r="E20" s="92"/>
      <c r="F20" s="92"/>
      <c r="G20" s="243" t="s">
        <v>124</v>
      </c>
      <c r="H20" s="244"/>
      <c r="J20" s="14">
        <v>11</v>
      </c>
      <c r="K20" s="71"/>
      <c r="L20" s="121"/>
      <c r="M20" s="121"/>
      <c r="N20" s="121"/>
      <c r="O20" s="72"/>
      <c r="P20" s="30" t="str">
        <f t="shared" si="8"/>
        <v/>
      </c>
      <c r="S20" s="154" t="str">
        <f t="shared" si="9"/>
        <v/>
      </c>
      <c r="T20" s="155" t="str">
        <f t="shared" si="10"/>
        <v/>
      </c>
      <c r="U20" s="29" t="str">
        <f t="shared" si="11"/>
        <v/>
      </c>
      <c r="V20" s="162" t="str">
        <f t="shared" si="12"/>
        <v/>
      </c>
      <c r="W20" s="162" t="str">
        <f t="shared" si="13"/>
        <v/>
      </c>
      <c r="X20" s="67"/>
      <c r="Y20" s="68">
        <f t="shared" si="0"/>
        <v>0</v>
      </c>
      <c r="Z20" s="68">
        <f t="shared" si="1"/>
        <v>0</v>
      </c>
      <c r="AA20" s="68">
        <f t="shared" si="2"/>
        <v>0</v>
      </c>
      <c r="AB20" s="68">
        <f t="shared" si="3"/>
        <v>0</v>
      </c>
      <c r="AC20" s="68">
        <f t="shared" si="4"/>
        <v>0</v>
      </c>
      <c r="AD20" s="68">
        <f t="shared" si="5"/>
        <v>0</v>
      </c>
      <c r="AE20" s="68">
        <f t="shared" si="6"/>
        <v>0</v>
      </c>
      <c r="AF20" s="68">
        <f t="shared" si="7"/>
        <v>0</v>
      </c>
    </row>
    <row r="21" spans="1:32" ht="15.75" thickTop="1" x14ac:dyDescent="0.25">
      <c r="A21" s="23" t="s">
        <v>20</v>
      </c>
      <c r="B21" s="235" t="s">
        <v>242</v>
      </c>
      <c r="C21" s="236"/>
      <c r="D21" s="236"/>
      <c r="E21" s="236"/>
      <c r="F21" s="236"/>
      <c r="G21" s="237" t="s">
        <v>121</v>
      </c>
      <c r="H21" s="238"/>
      <c r="J21" s="14">
        <v>12</v>
      </c>
      <c r="K21" s="71"/>
      <c r="L21" s="121"/>
      <c r="M21" s="121"/>
      <c r="N21" s="121"/>
      <c r="O21" s="72"/>
      <c r="P21" s="30" t="str">
        <f t="shared" si="8"/>
        <v/>
      </c>
      <c r="S21" s="154" t="str">
        <f t="shared" si="9"/>
        <v/>
      </c>
      <c r="T21" s="155" t="str">
        <f t="shared" si="10"/>
        <v/>
      </c>
      <c r="U21" s="29" t="str">
        <f t="shared" si="11"/>
        <v/>
      </c>
      <c r="V21" s="162" t="str">
        <f t="shared" si="12"/>
        <v/>
      </c>
      <c r="W21" s="162" t="str">
        <f t="shared" si="13"/>
        <v/>
      </c>
      <c r="X21" s="67"/>
      <c r="Y21" s="68">
        <f t="shared" si="0"/>
        <v>0</v>
      </c>
      <c r="Z21" s="68">
        <f t="shared" si="1"/>
        <v>0</v>
      </c>
      <c r="AA21" s="68">
        <f t="shared" si="2"/>
        <v>0</v>
      </c>
      <c r="AB21" s="68">
        <f t="shared" si="3"/>
        <v>0</v>
      </c>
      <c r="AC21" s="68">
        <f t="shared" si="4"/>
        <v>0</v>
      </c>
      <c r="AD21" s="68">
        <f t="shared" si="5"/>
        <v>0</v>
      </c>
      <c r="AE21" s="68">
        <f t="shared" si="6"/>
        <v>0</v>
      </c>
      <c r="AF21" s="68">
        <f t="shared" si="7"/>
        <v>0</v>
      </c>
    </row>
    <row r="22" spans="1:32" x14ac:dyDescent="0.25">
      <c r="A22" s="24" t="s">
        <v>28</v>
      </c>
      <c r="B22" s="233" t="s">
        <v>243</v>
      </c>
      <c r="C22" s="234"/>
      <c r="D22" s="234"/>
      <c r="E22" s="234"/>
      <c r="F22" s="234"/>
      <c r="G22" s="231" t="s">
        <v>121</v>
      </c>
      <c r="H22" s="232"/>
      <c r="J22" s="14">
        <v>13</v>
      </c>
      <c r="K22" s="71"/>
      <c r="L22" s="121"/>
      <c r="M22" s="121"/>
      <c r="N22" s="121"/>
      <c r="O22" s="72"/>
      <c r="P22" s="30" t="str">
        <f t="shared" si="8"/>
        <v/>
      </c>
      <c r="S22" s="154" t="str">
        <f t="shared" si="9"/>
        <v/>
      </c>
      <c r="T22" s="155" t="str">
        <f t="shared" si="10"/>
        <v/>
      </c>
      <c r="U22" s="29" t="str">
        <f t="shared" si="11"/>
        <v/>
      </c>
      <c r="V22" s="162" t="str">
        <f t="shared" si="12"/>
        <v/>
      </c>
      <c r="W22" s="162" t="str">
        <f t="shared" si="13"/>
        <v/>
      </c>
      <c r="X22" s="67"/>
      <c r="Y22" s="68">
        <f t="shared" si="0"/>
        <v>0</v>
      </c>
      <c r="Z22" s="68">
        <f t="shared" si="1"/>
        <v>0</v>
      </c>
      <c r="AA22" s="68">
        <f t="shared" si="2"/>
        <v>0</v>
      </c>
      <c r="AB22" s="68">
        <f t="shared" si="3"/>
        <v>0</v>
      </c>
      <c r="AC22" s="68">
        <f t="shared" si="4"/>
        <v>0</v>
      </c>
      <c r="AD22" s="68">
        <f t="shared" si="5"/>
        <v>0</v>
      </c>
      <c r="AE22" s="68">
        <f t="shared" si="6"/>
        <v>0</v>
      </c>
      <c r="AF22" s="68">
        <f t="shared" si="7"/>
        <v>0</v>
      </c>
    </row>
    <row r="23" spans="1:32" x14ac:dyDescent="0.25">
      <c r="A23" s="24" t="s">
        <v>26</v>
      </c>
      <c r="B23" s="233" t="s">
        <v>244</v>
      </c>
      <c r="C23" s="234"/>
      <c r="D23" s="234"/>
      <c r="E23" s="234"/>
      <c r="F23" s="234"/>
      <c r="G23" s="231" t="s">
        <v>125</v>
      </c>
      <c r="H23" s="232"/>
      <c r="J23" s="14">
        <v>14</v>
      </c>
      <c r="K23" s="71"/>
      <c r="L23" s="121"/>
      <c r="M23" s="121"/>
      <c r="N23" s="121"/>
      <c r="O23" s="72"/>
      <c r="P23" s="30" t="str">
        <f t="shared" si="8"/>
        <v/>
      </c>
      <c r="S23" s="154" t="str">
        <f t="shared" si="9"/>
        <v/>
      </c>
      <c r="T23" s="155" t="str">
        <f t="shared" si="10"/>
        <v/>
      </c>
      <c r="U23" s="29" t="str">
        <f t="shared" si="11"/>
        <v/>
      </c>
      <c r="V23" s="162" t="str">
        <f t="shared" si="12"/>
        <v/>
      </c>
      <c r="W23" s="162" t="str">
        <f t="shared" si="13"/>
        <v/>
      </c>
      <c r="X23" s="67"/>
      <c r="Y23" s="68">
        <f t="shared" si="0"/>
        <v>0</v>
      </c>
      <c r="Z23" s="68">
        <f t="shared" si="1"/>
        <v>0</v>
      </c>
      <c r="AA23" s="68">
        <f t="shared" si="2"/>
        <v>0</v>
      </c>
      <c r="AB23" s="68">
        <f t="shared" si="3"/>
        <v>0</v>
      </c>
      <c r="AC23" s="68">
        <f t="shared" si="4"/>
        <v>0</v>
      </c>
      <c r="AD23" s="68">
        <f t="shared" si="5"/>
        <v>0</v>
      </c>
      <c r="AE23" s="68">
        <f t="shared" si="6"/>
        <v>0</v>
      </c>
      <c r="AF23" s="68">
        <f t="shared" si="7"/>
        <v>0</v>
      </c>
    </row>
    <row r="24" spans="1:32" ht="15.75" thickBot="1" x14ac:dyDescent="0.3">
      <c r="A24" s="25" t="s">
        <v>27</v>
      </c>
      <c r="B24" s="227" t="s">
        <v>238</v>
      </c>
      <c r="C24" s="228"/>
      <c r="D24" s="228"/>
      <c r="E24" s="228"/>
      <c r="F24" s="228"/>
      <c r="G24" s="229" t="s">
        <v>125</v>
      </c>
      <c r="H24" s="230"/>
      <c r="J24" s="14">
        <v>15</v>
      </c>
      <c r="K24" s="71"/>
      <c r="L24" s="121"/>
      <c r="M24" s="121"/>
      <c r="N24" s="121"/>
      <c r="O24" s="72"/>
      <c r="P24" s="30" t="str">
        <f t="shared" si="8"/>
        <v/>
      </c>
      <c r="S24" s="154" t="str">
        <f t="shared" si="9"/>
        <v/>
      </c>
      <c r="T24" s="155" t="str">
        <f t="shared" si="10"/>
        <v/>
      </c>
      <c r="U24" s="29" t="str">
        <f t="shared" si="11"/>
        <v/>
      </c>
      <c r="V24" s="162" t="str">
        <f t="shared" si="12"/>
        <v/>
      </c>
      <c r="W24" s="162" t="str">
        <f t="shared" si="13"/>
        <v/>
      </c>
      <c r="X24" s="67"/>
      <c r="Y24" s="68">
        <f t="shared" si="0"/>
        <v>0</v>
      </c>
      <c r="Z24" s="68">
        <f t="shared" si="1"/>
        <v>0</v>
      </c>
      <c r="AA24" s="68">
        <f t="shared" si="2"/>
        <v>0</v>
      </c>
      <c r="AB24" s="68">
        <f t="shared" si="3"/>
        <v>0</v>
      </c>
      <c r="AC24" s="68">
        <f t="shared" si="4"/>
        <v>0</v>
      </c>
      <c r="AD24" s="68">
        <f t="shared" si="5"/>
        <v>0</v>
      </c>
      <c r="AE24" s="68">
        <f t="shared" si="6"/>
        <v>0</v>
      </c>
      <c r="AF24" s="68">
        <f t="shared" si="7"/>
        <v>0</v>
      </c>
    </row>
    <row r="25" spans="1:32" ht="15.75" thickTop="1" x14ac:dyDescent="0.25">
      <c r="J25" s="14">
        <v>16</v>
      </c>
      <c r="K25" s="71"/>
      <c r="L25" s="121"/>
      <c r="M25" s="121"/>
      <c r="N25" s="121"/>
      <c r="O25" s="72"/>
      <c r="P25" s="30" t="str">
        <f t="shared" si="8"/>
        <v/>
      </c>
      <c r="S25" s="154" t="str">
        <f t="shared" si="9"/>
        <v/>
      </c>
      <c r="T25" s="155" t="str">
        <f t="shared" si="10"/>
        <v/>
      </c>
      <c r="U25" s="29" t="str">
        <f t="shared" si="11"/>
        <v/>
      </c>
      <c r="V25" s="162" t="str">
        <f t="shared" si="12"/>
        <v/>
      </c>
      <c r="W25" s="162" t="str">
        <f t="shared" si="13"/>
        <v/>
      </c>
      <c r="X25" s="67"/>
      <c r="Y25" s="68">
        <f t="shared" si="0"/>
        <v>0</v>
      </c>
      <c r="Z25" s="68">
        <f t="shared" si="1"/>
        <v>0</v>
      </c>
      <c r="AA25" s="68">
        <f t="shared" si="2"/>
        <v>0</v>
      </c>
      <c r="AB25" s="68">
        <f t="shared" si="3"/>
        <v>0</v>
      </c>
      <c r="AC25" s="68">
        <f t="shared" si="4"/>
        <v>0</v>
      </c>
      <c r="AD25" s="68">
        <f t="shared" si="5"/>
        <v>0</v>
      </c>
      <c r="AE25" s="68">
        <f t="shared" si="6"/>
        <v>0</v>
      </c>
      <c r="AF25" s="68">
        <f t="shared" si="7"/>
        <v>0</v>
      </c>
    </row>
    <row r="26" spans="1:32" x14ac:dyDescent="0.25">
      <c r="J26" s="14">
        <v>17</v>
      </c>
      <c r="K26" s="71"/>
      <c r="L26" s="121"/>
      <c r="M26" s="121"/>
      <c r="N26" s="121"/>
      <c r="O26" s="72"/>
      <c r="P26" s="30" t="str">
        <f t="shared" si="8"/>
        <v/>
      </c>
      <c r="S26" s="154" t="str">
        <f t="shared" si="9"/>
        <v/>
      </c>
      <c r="T26" s="155" t="str">
        <f t="shared" si="10"/>
        <v/>
      </c>
      <c r="U26" s="29" t="str">
        <f t="shared" si="11"/>
        <v/>
      </c>
      <c r="V26" s="162" t="str">
        <f t="shared" si="12"/>
        <v/>
      </c>
      <c r="W26" s="162" t="str">
        <f t="shared" si="13"/>
        <v/>
      </c>
      <c r="X26" s="67"/>
      <c r="Y26" s="68">
        <f t="shared" si="0"/>
        <v>0</v>
      </c>
      <c r="Z26" s="68">
        <f t="shared" si="1"/>
        <v>0</v>
      </c>
      <c r="AA26" s="68">
        <f t="shared" si="2"/>
        <v>0</v>
      </c>
      <c r="AB26" s="68">
        <f t="shared" si="3"/>
        <v>0</v>
      </c>
      <c r="AC26" s="68">
        <f t="shared" si="4"/>
        <v>0</v>
      </c>
      <c r="AD26" s="68">
        <f t="shared" si="5"/>
        <v>0</v>
      </c>
      <c r="AE26" s="68">
        <f t="shared" si="6"/>
        <v>0</v>
      </c>
      <c r="AF26" s="68">
        <f t="shared" si="7"/>
        <v>0</v>
      </c>
    </row>
    <row r="27" spans="1:32" x14ac:dyDescent="0.25">
      <c r="F27" s="30"/>
      <c r="J27" s="14">
        <v>18</v>
      </c>
      <c r="K27" s="71"/>
      <c r="L27" s="121"/>
      <c r="M27" s="121"/>
      <c r="N27" s="121"/>
      <c r="O27" s="72"/>
      <c r="P27" s="30" t="str">
        <f t="shared" si="8"/>
        <v/>
      </c>
      <c r="S27" s="154" t="str">
        <f t="shared" si="9"/>
        <v/>
      </c>
      <c r="T27" s="155" t="str">
        <f t="shared" si="10"/>
        <v/>
      </c>
      <c r="U27" s="29" t="str">
        <f t="shared" si="11"/>
        <v/>
      </c>
      <c r="V27" s="162" t="str">
        <f t="shared" si="12"/>
        <v/>
      </c>
      <c r="W27" s="162" t="str">
        <f t="shared" si="13"/>
        <v/>
      </c>
      <c r="X27" s="67"/>
      <c r="Y27" s="68">
        <f t="shared" si="0"/>
        <v>0</v>
      </c>
      <c r="Z27" s="68">
        <f t="shared" si="1"/>
        <v>0</v>
      </c>
      <c r="AA27" s="68">
        <f t="shared" si="2"/>
        <v>0</v>
      </c>
      <c r="AB27" s="68">
        <f t="shared" si="3"/>
        <v>0</v>
      </c>
      <c r="AC27" s="68">
        <f t="shared" si="4"/>
        <v>0</v>
      </c>
      <c r="AD27" s="68">
        <f t="shared" si="5"/>
        <v>0</v>
      </c>
      <c r="AE27" s="68">
        <f t="shared" si="6"/>
        <v>0</v>
      </c>
      <c r="AF27" s="68">
        <f t="shared" si="7"/>
        <v>0</v>
      </c>
    </row>
    <row r="28" spans="1:32" x14ac:dyDescent="0.25">
      <c r="A28" s="1" t="s">
        <v>166</v>
      </c>
      <c r="F28" s="30"/>
      <c r="J28" s="14">
        <v>19</v>
      </c>
      <c r="K28" s="71"/>
      <c r="L28" s="121"/>
      <c r="M28" s="121"/>
      <c r="N28" s="121"/>
      <c r="O28" s="72"/>
      <c r="P28" s="30" t="str">
        <f t="shared" si="8"/>
        <v/>
      </c>
      <c r="S28" s="154" t="str">
        <f t="shared" si="9"/>
        <v/>
      </c>
      <c r="T28" s="155" t="str">
        <f t="shared" si="10"/>
        <v/>
      </c>
      <c r="U28" s="29" t="str">
        <f t="shared" si="11"/>
        <v/>
      </c>
      <c r="V28" s="162" t="str">
        <f t="shared" si="12"/>
        <v/>
      </c>
      <c r="W28" s="162" t="str">
        <f t="shared" si="13"/>
        <v/>
      </c>
      <c r="X28" s="67"/>
      <c r="Y28" s="68">
        <f t="shared" si="0"/>
        <v>0</v>
      </c>
      <c r="Z28" s="68">
        <f t="shared" si="1"/>
        <v>0</v>
      </c>
      <c r="AA28" s="68">
        <f t="shared" si="2"/>
        <v>0</v>
      </c>
      <c r="AB28" s="68">
        <f t="shared" si="3"/>
        <v>0</v>
      </c>
      <c r="AC28" s="68">
        <f t="shared" si="4"/>
        <v>0</v>
      </c>
      <c r="AD28" s="68">
        <f t="shared" si="5"/>
        <v>0</v>
      </c>
      <c r="AE28" s="68">
        <f t="shared" si="6"/>
        <v>0</v>
      </c>
      <c r="AF28" s="68">
        <f t="shared" si="7"/>
        <v>0</v>
      </c>
    </row>
    <row r="29" spans="1:32" ht="15.75" thickBot="1" x14ac:dyDescent="0.3">
      <c r="F29" s="30"/>
      <c r="J29" s="14">
        <v>20</v>
      </c>
      <c r="K29" s="71"/>
      <c r="L29" s="121"/>
      <c r="M29" s="121"/>
      <c r="N29" s="121"/>
      <c r="O29" s="72"/>
      <c r="P29" s="30" t="str">
        <f t="shared" si="8"/>
        <v/>
      </c>
      <c r="S29" s="154" t="str">
        <f t="shared" si="9"/>
        <v/>
      </c>
      <c r="T29" s="155" t="str">
        <f t="shared" si="10"/>
        <v/>
      </c>
      <c r="U29" s="29" t="str">
        <f t="shared" si="11"/>
        <v/>
      </c>
      <c r="V29" s="162" t="str">
        <f t="shared" si="12"/>
        <v/>
      </c>
      <c r="W29" s="162" t="str">
        <f t="shared" si="13"/>
        <v/>
      </c>
      <c r="X29" s="67"/>
      <c r="Y29" s="68">
        <f t="shared" si="0"/>
        <v>0</v>
      </c>
      <c r="Z29" s="68">
        <f t="shared" si="1"/>
        <v>0</v>
      </c>
      <c r="AA29" s="68">
        <f t="shared" si="2"/>
        <v>0</v>
      </c>
      <c r="AB29" s="68">
        <f t="shared" si="3"/>
        <v>0</v>
      </c>
      <c r="AC29" s="68">
        <f t="shared" si="4"/>
        <v>0</v>
      </c>
      <c r="AD29" s="68">
        <f t="shared" si="5"/>
        <v>0</v>
      </c>
      <c r="AE29" s="68">
        <f t="shared" si="6"/>
        <v>0</v>
      </c>
      <c r="AF29" s="68">
        <f t="shared" si="7"/>
        <v>0</v>
      </c>
    </row>
    <row r="30" spans="1:32" ht="15.75" thickTop="1" x14ac:dyDescent="0.25">
      <c r="A30" s="21" t="s">
        <v>91</v>
      </c>
      <c r="B30" s="16" t="s">
        <v>22</v>
      </c>
      <c r="C30" s="16" t="s">
        <v>38</v>
      </c>
      <c r="D30" s="17" t="s">
        <v>24</v>
      </c>
      <c r="F30" s="30"/>
      <c r="J30" s="14">
        <v>21</v>
      </c>
      <c r="K30" s="71"/>
      <c r="L30" s="121"/>
      <c r="M30" s="121"/>
      <c r="N30" s="121"/>
      <c r="O30" s="72"/>
      <c r="P30" s="30" t="str">
        <f t="shared" si="8"/>
        <v/>
      </c>
      <c r="S30" s="154" t="str">
        <f t="shared" si="9"/>
        <v/>
      </c>
      <c r="T30" s="155" t="str">
        <f t="shared" si="10"/>
        <v/>
      </c>
      <c r="U30" s="29" t="str">
        <f t="shared" si="11"/>
        <v/>
      </c>
      <c r="V30" s="162" t="str">
        <f t="shared" si="12"/>
        <v/>
      </c>
      <c r="W30" s="162" t="str">
        <f t="shared" si="13"/>
        <v/>
      </c>
      <c r="X30" s="67"/>
      <c r="Y30" s="68">
        <f t="shared" si="0"/>
        <v>0</v>
      </c>
      <c r="Z30" s="68">
        <f t="shared" si="1"/>
        <v>0</v>
      </c>
      <c r="AA30" s="68">
        <f t="shared" si="2"/>
        <v>0</v>
      </c>
      <c r="AB30" s="68">
        <f t="shared" si="3"/>
        <v>0</v>
      </c>
      <c r="AC30" s="68">
        <f t="shared" si="4"/>
        <v>0</v>
      </c>
      <c r="AD30" s="68">
        <f t="shared" si="5"/>
        <v>0</v>
      </c>
      <c r="AE30" s="68">
        <f t="shared" si="6"/>
        <v>0</v>
      </c>
      <c r="AF30" s="68">
        <f t="shared" si="7"/>
        <v>0</v>
      </c>
    </row>
    <row r="31" spans="1:32" ht="15.75" thickBot="1" x14ac:dyDescent="0.3">
      <c r="A31" s="22" t="s">
        <v>9</v>
      </c>
      <c r="B31" s="19" t="s">
        <v>24</v>
      </c>
      <c r="C31" s="19" t="s">
        <v>24</v>
      </c>
      <c r="D31" s="20" t="s">
        <v>39</v>
      </c>
      <c r="F31" s="30"/>
      <c r="J31" s="14">
        <v>22</v>
      </c>
      <c r="K31" s="71"/>
      <c r="L31" s="121"/>
      <c r="M31" s="121"/>
      <c r="N31" s="121"/>
      <c r="O31" s="72"/>
      <c r="P31" s="30" t="str">
        <f t="shared" si="8"/>
        <v/>
      </c>
      <c r="S31" s="154" t="str">
        <f t="shared" si="9"/>
        <v/>
      </c>
      <c r="T31" s="155" t="str">
        <f t="shared" si="10"/>
        <v/>
      </c>
      <c r="U31" s="29" t="str">
        <f t="shared" si="11"/>
        <v/>
      </c>
      <c r="V31" s="162" t="str">
        <f t="shared" si="12"/>
        <v/>
      </c>
      <c r="W31" s="162" t="str">
        <f t="shared" si="13"/>
        <v/>
      </c>
      <c r="X31" s="67"/>
      <c r="Y31" s="68">
        <f t="shared" si="0"/>
        <v>0</v>
      </c>
      <c r="Z31" s="68">
        <f t="shared" si="1"/>
        <v>0</v>
      </c>
      <c r="AA31" s="68">
        <f t="shared" si="2"/>
        <v>0</v>
      </c>
      <c r="AB31" s="68">
        <f t="shared" si="3"/>
        <v>0</v>
      </c>
      <c r="AC31" s="68">
        <f t="shared" si="4"/>
        <v>0</v>
      </c>
      <c r="AD31" s="68">
        <f t="shared" si="5"/>
        <v>0</v>
      </c>
      <c r="AE31" s="68">
        <f t="shared" si="6"/>
        <v>0</v>
      </c>
      <c r="AF31" s="68">
        <f t="shared" si="7"/>
        <v>0</v>
      </c>
    </row>
    <row r="32" spans="1:32" ht="15.75" thickTop="1" x14ac:dyDescent="0.25">
      <c r="A32" s="26" t="s">
        <v>20</v>
      </c>
      <c r="B32" s="131">
        <f>Y60</f>
        <v>7800</v>
      </c>
      <c r="C32" s="132">
        <f>AC60</f>
        <v>18000</v>
      </c>
      <c r="D32" s="138">
        <f>IF(C32=0,"", 100*(B32/C32))</f>
        <v>43.333333333333336</v>
      </c>
      <c r="J32" s="14">
        <v>23</v>
      </c>
      <c r="K32" s="71"/>
      <c r="L32" s="121"/>
      <c r="M32" s="121"/>
      <c r="N32" s="121"/>
      <c r="O32" s="72"/>
      <c r="P32" s="30" t="str">
        <f t="shared" si="8"/>
        <v/>
      </c>
      <c r="S32" s="154" t="str">
        <f t="shared" si="9"/>
        <v/>
      </c>
      <c r="T32" s="155" t="str">
        <f t="shared" si="10"/>
        <v/>
      </c>
      <c r="U32" s="29" t="str">
        <f t="shared" si="11"/>
        <v/>
      </c>
      <c r="V32" s="162" t="str">
        <f t="shared" si="12"/>
        <v/>
      </c>
      <c r="W32" s="162" t="str">
        <f t="shared" si="13"/>
        <v/>
      </c>
      <c r="X32" s="67"/>
      <c r="Y32" s="68">
        <f t="shared" si="0"/>
        <v>0</v>
      </c>
      <c r="Z32" s="68">
        <f t="shared" si="1"/>
        <v>0</v>
      </c>
      <c r="AA32" s="68">
        <f t="shared" si="2"/>
        <v>0</v>
      </c>
      <c r="AB32" s="68">
        <f t="shared" si="3"/>
        <v>0</v>
      </c>
      <c r="AC32" s="68">
        <f t="shared" si="4"/>
        <v>0</v>
      </c>
      <c r="AD32" s="68">
        <f t="shared" si="5"/>
        <v>0</v>
      </c>
      <c r="AE32" s="68">
        <f t="shared" si="6"/>
        <v>0</v>
      </c>
      <c r="AF32" s="68">
        <f t="shared" si="7"/>
        <v>0</v>
      </c>
    </row>
    <row r="33" spans="1:32" x14ac:dyDescent="0.25">
      <c r="A33" s="24" t="s">
        <v>28</v>
      </c>
      <c r="B33" s="133">
        <f>Z60</f>
        <v>7000</v>
      </c>
      <c r="C33" s="134">
        <f>AD60</f>
        <v>13200</v>
      </c>
      <c r="D33" s="139">
        <f>IF(C33=0,"", 100*(B33/C33))</f>
        <v>53.030303030303031</v>
      </c>
      <c r="J33" s="14">
        <v>24</v>
      </c>
      <c r="K33" s="71"/>
      <c r="L33" s="121"/>
      <c r="M33" s="121"/>
      <c r="N33" s="121"/>
      <c r="O33" s="72"/>
      <c r="P33" s="30" t="str">
        <f t="shared" si="8"/>
        <v/>
      </c>
      <c r="S33" s="154" t="str">
        <f t="shared" si="9"/>
        <v/>
      </c>
      <c r="T33" s="155" t="str">
        <f t="shared" si="10"/>
        <v/>
      </c>
      <c r="U33" s="29" t="str">
        <f t="shared" si="11"/>
        <v/>
      </c>
      <c r="V33" s="162" t="str">
        <f t="shared" si="12"/>
        <v/>
      </c>
      <c r="W33" s="162" t="str">
        <f t="shared" si="13"/>
        <v/>
      </c>
      <c r="X33" s="67"/>
      <c r="Y33" s="68">
        <f t="shared" si="0"/>
        <v>0</v>
      </c>
      <c r="Z33" s="68">
        <f t="shared" si="1"/>
        <v>0</v>
      </c>
      <c r="AA33" s="68">
        <f t="shared" si="2"/>
        <v>0</v>
      </c>
      <c r="AB33" s="68">
        <f t="shared" si="3"/>
        <v>0</v>
      </c>
      <c r="AC33" s="68">
        <f t="shared" si="4"/>
        <v>0</v>
      </c>
      <c r="AD33" s="68">
        <f t="shared" si="5"/>
        <v>0</v>
      </c>
      <c r="AE33" s="68">
        <f t="shared" si="6"/>
        <v>0</v>
      </c>
      <c r="AF33" s="68">
        <f t="shared" si="7"/>
        <v>0</v>
      </c>
    </row>
    <row r="34" spans="1:32" x14ac:dyDescent="0.25">
      <c r="A34" s="24" t="s">
        <v>26</v>
      </c>
      <c r="B34" s="133">
        <f>AA60</f>
        <v>11200</v>
      </c>
      <c r="C34" s="134">
        <f>AE60</f>
        <v>13800</v>
      </c>
      <c r="D34" s="139">
        <f>IF(C34=0,"", 100*(B34/C34))</f>
        <v>81.159420289855078</v>
      </c>
      <c r="J34" s="14">
        <v>25</v>
      </c>
      <c r="K34" s="71"/>
      <c r="L34" s="121"/>
      <c r="M34" s="121"/>
      <c r="N34" s="121"/>
      <c r="O34" s="72"/>
      <c r="P34" s="30" t="str">
        <f t="shared" si="8"/>
        <v/>
      </c>
      <c r="S34" s="154" t="str">
        <f t="shared" si="9"/>
        <v/>
      </c>
      <c r="T34" s="155" t="str">
        <f t="shared" si="10"/>
        <v/>
      </c>
      <c r="U34" s="29" t="str">
        <f t="shared" si="11"/>
        <v/>
      </c>
      <c r="V34" s="162" t="str">
        <f t="shared" si="12"/>
        <v/>
      </c>
      <c r="W34" s="162" t="str">
        <f t="shared" si="13"/>
        <v/>
      </c>
      <c r="X34" s="67"/>
      <c r="Y34" s="68">
        <f t="shared" si="0"/>
        <v>0</v>
      </c>
      <c r="Z34" s="68">
        <f t="shared" si="1"/>
        <v>0</v>
      </c>
      <c r="AA34" s="68">
        <f t="shared" si="2"/>
        <v>0</v>
      </c>
      <c r="AB34" s="68">
        <f t="shared" si="3"/>
        <v>0</v>
      </c>
      <c r="AC34" s="68">
        <f t="shared" si="4"/>
        <v>0</v>
      </c>
      <c r="AD34" s="68">
        <f t="shared" si="5"/>
        <v>0</v>
      </c>
      <c r="AE34" s="68">
        <f t="shared" si="6"/>
        <v>0</v>
      </c>
      <c r="AF34" s="68">
        <f t="shared" si="7"/>
        <v>0</v>
      </c>
    </row>
    <row r="35" spans="1:32" ht="15.75" thickBot="1" x14ac:dyDescent="0.3">
      <c r="A35" s="27" t="s">
        <v>27</v>
      </c>
      <c r="B35" s="135">
        <f>AB60</f>
        <v>4000</v>
      </c>
      <c r="C35" s="136">
        <f>AF60</f>
        <v>5000</v>
      </c>
      <c r="D35" s="140">
        <f>IF(C35=0,"", 100*(B35/C35))</f>
        <v>80</v>
      </c>
      <c r="J35" s="14">
        <v>26</v>
      </c>
      <c r="K35" s="71"/>
      <c r="L35" s="121"/>
      <c r="M35" s="121"/>
      <c r="N35" s="121"/>
      <c r="O35" s="72"/>
      <c r="P35" s="30" t="str">
        <f t="shared" si="8"/>
        <v/>
      </c>
      <c r="S35" s="154" t="str">
        <f t="shared" si="9"/>
        <v/>
      </c>
      <c r="T35" s="155" t="str">
        <f t="shared" si="10"/>
        <v/>
      </c>
      <c r="U35" s="29" t="str">
        <f t="shared" si="11"/>
        <v/>
      </c>
      <c r="V35" s="162" t="str">
        <f t="shared" si="12"/>
        <v/>
      </c>
      <c r="W35" s="162" t="str">
        <f t="shared" si="13"/>
        <v/>
      </c>
      <c r="X35" s="67"/>
      <c r="Y35" s="68">
        <f t="shared" si="0"/>
        <v>0</v>
      </c>
      <c r="Z35" s="68">
        <f t="shared" si="1"/>
        <v>0</v>
      </c>
      <c r="AA35" s="68">
        <f t="shared" si="2"/>
        <v>0</v>
      </c>
      <c r="AB35" s="68">
        <f t="shared" si="3"/>
        <v>0</v>
      </c>
      <c r="AC35" s="68">
        <f t="shared" si="4"/>
        <v>0</v>
      </c>
      <c r="AD35" s="68">
        <f t="shared" si="5"/>
        <v>0</v>
      </c>
      <c r="AE35" s="68">
        <f t="shared" si="6"/>
        <v>0</v>
      </c>
      <c r="AF35" s="68">
        <f t="shared" si="7"/>
        <v>0</v>
      </c>
    </row>
    <row r="36" spans="1:32" ht="15.75" thickBot="1" x14ac:dyDescent="0.3">
      <c r="A36" s="28" t="s">
        <v>37</v>
      </c>
      <c r="B36" s="118">
        <f>SUM(B32:B35)</f>
        <v>30000</v>
      </c>
      <c r="C36" s="119">
        <f>SUM(C32:C35)</f>
        <v>50000</v>
      </c>
      <c r="D36" s="141">
        <f>IF(C36=0,"", 100*(B36/C36))</f>
        <v>60</v>
      </c>
      <c r="J36" s="14">
        <v>27</v>
      </c>
      <c r="K36" s="71"/>
      <c r="L36" s="121"/>
      <c r="M36" s="121"/>
      <c r="N36" s="121"/>
      <c r="O36" s="72"/>
      <c r="P36" s="30" t="str">
        <f t="shared" si="8"/>
        <v/>
      </c>
      <c r="S36" s="154" t="str">
        <f t="shared" si="9"/>
        <v/>
      </c>
      <c r="T36" s="155" t="str">
        <f t="shared" si="10"/>
        <v/>
      </c>
      <c r="U36" s="29" t="str">
        <f t="shared" si="11"/>
        <v/>
      </c>
      <c r="V36" s="162" t="str">
        <f t="shared" si="12"/>
        <v/>
      </c>
      <c r="W36" s="162" t="str">
        <f t="shared" si="13"/>
        <v/>
      </c>
      <c r="X36" s="67"/>
      <c r="Y36" s="68">
        <f t="shared" si="0"/>
        <v>0</v>
      </c>
      <c r="Z36" s="68">
        <f t="shared" si="1"/>
        <v>0</v>
      </c>
      <c r="AA36" s="68">
        <f t="shared" si="2"/>
        <v>0</v>
      </c>
      <c r="AB36" s="68">
        <f t="shared" si="3"/>
        <v>0</v>
      </c>
      <c r="AC36" s="68">
        <f t="shared" si="4"/>
        <v>0</v>
      </c>
      <c r="AD36" s="68">
        <f t="shared" si="5"/>
        <v>0</v>
      </c>
      <c r="AE36" s="68">
        <f t="shared" si="6"/>
        <v>0</v>
      </c>
      <c r="AF36" s="68">
        <f t="shared" si="7"/>
        <v>0</v>
      </c>
    </row>
    <row r="37" spans="1:32" ht="15.75" thickTop="1" x14ac:dyDescent="0.25">
      <c r="J37" s="14">
        <v>28</v>
      </c>
      <c r="K37" s="71"/>
      <c r="L37" s="121"/>
      <c r="M37" s="121"/>
      <c r="N37" s="121"/>
      <c r="O37" s="72"/>
      <c r="P37" s="30" t="str">
        <f t="shared" si="8"/>
        <v/>
      </c>
      <c r="S37" s="154" t="str">
        <f t="shared" si="9"/>
        <v/>
      </c>
      <c r="T37" s="155" t="str">
        <f t="shared" si="10"/>
        <v/>
      </c>
      <c r="U37" s="29" t="str">
        <f t="shared" si="11"/>
        <v/>
      </c>
      <c r="V37" s="162" t="str">
        <f t="shared" si="12"/>
        <v/>
      </c>
      <c r="W37" s="162" t="str">
        <f t="shared" si="13"/>
        <v/>
      </c>
      <c r="X37" s="67"/>
      <c r="Y37" s="68">
        <f t="shared" si="0"/>
        <v>0</v>
      </c>
      <c r="Z37" s="68">
        <f t="shared" si="1"/>
        <v>0</v>
      </c>
      <c r="AA37" s="68">
        <f t="shared" si="2"/>
        <v>0</v>
      </c>
      <c r="AB37" s="68">
        <f t="shared" si="3"/>
        <v>0</v>
      </c>
      <c r="AC37" s="68">
        <f t="shared" si="4"/>
        <v>0</v>
      </c>
      <c r="AD37" s="68">
        <f t="shared" si="5"/>
        <v>0</v>
      </c>
      <c r="AE37" s="68">
        <f t="shared" si="6"/>
        <v>0</v>
      </c>
      <c r="AF37" s="68">
        <f t="shared" si="7"/>
        <v>0</v>
      </c>
    </row>
    <row r="38" spans="1:32" x14ac:dyDescent="0.25">
      <c r="B38" s="125" t="s">
        <v>157</v>
      </c>
      <c r="J38" s="14">
        <v>29</v>
      </c>
      <c r="K38" s="71"/>
      <c r="L38" s="121"/>
      <c r="M38" s="121"/>
      <c r="N38" s="121"/>
      <c r="O38" s="72"/>
      <c r="P38" s="30" t="str">
        <f t="shared" si="8"/>
        <v/>
      </c>
      <c r="S38" s="154" t="str">
        <f t="shared" si="9"/>
        <v/>
      </c>
      <c r="T38" s="155" t="str">
        <f t="shared" si="10"/>
        <v/>
      </c>
      <c r="U38" s="29" t="str">
        <f t="shared" si="11"/>
        <v/>
      </c>
      <c r="V38" s="162" t="str">
        <f t="shared" si="12"/>
        <v/>
      </c>
      <c r="W38" s="162" t="str">
        <f t="shared" si="13"/>
        <v/>
      </c>
      <c r="X38" s="67"/>
      <c r="Y38" s="68">
        <f t="shared" si="0"/>
        <v>0</v>
      </c>
      <c r="Z38" s="68">
        <f t="shared" si="1"/>
        <v>0</v>
      </c>
      <c r="AA38" s="68">
        <f t="shared" si="2"/>
        <v>0</v>
      </c>
      <c r="AB38" s="68">
        <f t="shared" si="3"/>
        <v>0</v>
      </c>
      <c r="AC38" s="68">
        <f t="shared" si="4"/>
        <v>0</v>
      </c>
      <c r="AD38" s="68">
        <f t="shared" si="5"/>
        <v>0</v>
      </c>
      <c r="AE38" s="68">
        <f t="shared" si="6"/>
        <v>0</v>
      </c>
      <c r="AF38" s="68">
        <f t="shared" si="7"/>
        <v>0</v>
      </c>
    </row>
    <row r="39" spans="1:32" x14ac:dyDescent="0.25">
      <c r="B39" s="30" t="str">
        <f>IF(OR(B36=0,C36=0),"ERROR: Add Inventory (Required)","")</f>
        <v/>
      </c>
      <c r="J39" s="14">
        <v>30</v>
      </c>
      <c r="K39" s="71"/>
      <c r="L39" s="121"/>
      <c r="M39" s="121"/>
      <c r="N39" s="121"/>
      <c r="O39" s="72"/>
      <c r="P39" s="30" t="str">
        <f t="shared" si="8"/>
        <v/>
      </c>
      <c r="S39" s="154" t="str">
        <f t="shared" si="9"/>
        <v/>
      </c>
      <c r="T39" s="155" t="str">
        <f t="shared" si="10"/>
        <v/>
      </c>
      <c r="U39" s="29" t="str">
        <f t="shared" si="11"/>
        <v/>
      </c>
      <c r="V39" s="162" t="str">
        <f t="shared" si="12"/>
        <v/>
      </c>
      <c r="W39" s="162" t="str">
        <f t="shared" si="13"/>
        <v/>
      </c>
      <c r="X39" s="67"/>
      <c r="Y39" s="68">
        <f t="shared" si="0"/>
        <v>0</v>
      </c>
      <c r="Z39" s="68">
        <f t="shared" si="1"/>
        <v>0</v>
      </c>
      <c r="AA39" s="68">
        <f t="shared" si="2"/>
        <v>0</v>
      </c>
      <c r="AB39" s="68">
        <f t="shared" si="3"/>
        <v>0</v>
      </c>
      <c r="AC39" s="68">
        <f t="shared" si="4"/>
        <v>0</v>
      </c>
      <c r="AD39" s="68">
        <f t="shared" si="5"/>
        <v>0</v>
      </c>
      <c r="AE39" s="68">
        <f t="shared" si="6"/>
        <v>0</v>
      </c>
      <c r="AF39" s="68">
        <f t="shared" si="7"/>
        <v>0</v>
      </c>
    </row>
    <row r="40" spans="1:32" x14ac:dyDescent="0.25">
      <c r="B40" s="1"/>
      <c r="J40" s="14">
        <v>31</v>
      </c>
      <c r="K40" s="71"/>
      <c r="L40" s="121"/>
      <c r="M40" s="121"/>
      <c r="N40" s="121"/>
      <c r="O40" s="72"/>
      <c r="P40" s="30" t="str">
        <f t="shared" si="8"/>
        <v/>
      </c>
      <c r="S40" s="154" t="str">
        <f t="shared" si="9"/>
        <v/>
      </c>
      <c r="T40" s="155" t="str">
        <f t="shared" si="10"/>
        <v/>
      </c>
      <c r="U40" s="29" t="str">
        <f t="shared" si="11"/>
        <v/>
      </c>
      <c r="V40" s="162" t="str">
        <f t="shared" si="12"/>
        <v/>
      </c>
      <c r="W40" s="162" t="str">
        <f t="shared" si="13"/>
        <v/>
      </c>
      <c r="X40" s="67"/>
      <c r="Y40" s="68">
        <f t="shared" si="0"/>
        <v>0</v>
      </c>
      <c r="Z40" s="68">
        <f t="shared" si="1"/>
        <v>0</v>
      </c>
      <c r="AA40" s="68">
        <f t="shared" si="2"/>
        <v>0</v>
      </c>
      <c r="AB40" s="68">
        <f t="shared" si="3"/>
        <v>0</v>
      </c>
      <c r="AC40" s="68">
        <f t="shared" si="4"/>
        <v>0</v>
      </c>
      <c r="AD40" s="68">
        <f t="shared" si="5"/>
        <v>0</v>
      </c>
      <c r="AE40" s="68">
        <f t="shared" si="6"/>
        <v>0</v>
      </c>
      <c r="AF40" s="68">
        <f t="shared" si="7"/>
        <v>0</v>
      </c>
    </row>
    <row r="41" spans="1:32" x14ac:dyDescent="0.25">
      <c r="J41" s="14">
        <v>32</v>
      </c>
      <c r="K41" s="71"/>
      <c r="L41" s="121"/>
      <c r="M41" s="121"/>
      <c r="N41" s="121"/>
      <c r="O41" s="72"/>
      <c r="P41" s="30" t="str">
        <f t="shared" si="8"/>
        <v/>
      </c>
      <c r="S41" s="154" t="str">
        <f t="shared" si="9"/>
        <v/>
      </c>
      <c r="T41" s="155" t="str">
        <f t="shared" si="10"/>
        <v/>
      </c>
      <c r="U41" s="29" t="str">
        <f t="shared" si="11"/>
        <v/>
      </c>
      <c r="V41" s="162" t="str">
        <f t="shared" si="12"/>
        <v/>
      </c>
      <c r="W41" s="162" t="str">
        <f t="shared" si="13"/>
        <v/>
      </c>
      <c r="X41" s="67"/>
      <c r="Y41" s="68">
        <f t="shared" si="0"/>
        <v>0</v>
      </c>
      <c r="Z41" s="68">
        <f t="shared" si="1"/>
        <v>0</v>
      </c>
      <c r="AA41" s="68">
        <f t="shared" si="2"/>
        <v>0</v>
      </c>
      <c r="AB41" s="68">
        <f t="shared" si="3"/>
        <v>0</v>
      </c>
      <c r="AC41" s="68">
        <f t="shared" si="4"/>
        <v>0</v>
      </c>
      <c r="AD41" s="68">
        <f t="shared" si="5"/>
        <v>0</v>
      </c>
      <c r="AE41" s="68">
        <f t="shared" si="6"/>
        <v>0</v>
      </c>
      <c r="AF41" s="68">
        <f t="shared" si="7"/>
        <v>0</v>
      </c>
    </row>
    <row r="42" spans="1:32" x14ac:dyDescent="0.25">
      <c r="J42" s="14">
        <v>33</v>
      </c>
      <c r="K42" s="71"/>
      <c r="L42" s="121"/>
      <c r="M42" s="121"/>
      <c r="N42" s="121"/>
      <c r="O42" s="72"/>
      <c r="P42" s="30" t="str">
        <f t="shared" si="8"/>
        <v/>
      </c>
      <c r="S42" s="154" t="str">
        <f t="shared" si="9"/>
        <v/>
      </c>
      <c r="T42" s="155" t="str">
        <f t="shared" si="10"/>
        <v/>
      </c>
      <c r="U42" s="29" t="str">
        <f t="shared" si="11"/>
        <v/>
      </c>
      <c r="V42" s="162" t="str">
        <f t="shared" si="12"/>
        <v/>
      </c>
      <c r="W42" s="162" t="str">
        <f t="shared" si="13"/>
        <v/>
      </c>
      <c r="X42" s="67"/>
      <c r="Y42" s="68">
        <f t="shared" ref="Y42:Y59" si="14">IF(O42=1,M42*L42,0)</f>
        <v>0</v>
      </c>
      <c r="Z42" s="68">
        <f t="shared" ref="Z42:Z59" si="15">IF(O42=2,M42*L42,0)</f>
        <v>0</v>
      </c>
      <c r="AA42" s="68">
        <f t="shared" ref="AA42:AA59" si="16">IF(O42=3,M42*L42,0)</f>
        <v>0</v>
      </c>
      <c r="AB42" s="68">
        <f t="shared" ref="AB42:AB59" si="17">IF(O42=4,M42*L42,0)</f>
        <v>0</v>
      </c>
      <c r="AC42" s="68">
        <f t="shared" ref="AC42:AC59" si="18">IF(O42=1,N42*L42,0)</f>
        <v>0</v>
      </c>
      <c r="AD42" s="68">
        <f t="shared" ref="AD42:AD59" si="19">IF(O42=2,N42*L42,0)</f>
        <v>0</v>
      </c>
      <c r="AE42" s="68">
        <f t="shared" ref="AE42:AE59" si="20">IF(O42=3,N42*L42,0)</f>
        <v>0</v>
      </c>
      <c r="AF42" s="68">
        <f t="shared" ref="AF42:AF59" si="21">IF(O42=4,N42*L42,0)</f>
        <v>0</v>
      </c>
    </row>
    <row r="43" spans="1:32" x14ac:dyDescent="0.25">
      <c r="J43" s="14">
        <v>34</v>
      </c>
      <c r="K43" s="71"/>
      <c r="L43" s="121"/>
      <c r="M43" s="121"/>
      <c r="N43" s="121"/>
      <c r="O43" s="72"/>
      <c r="P43" s="30" t="str">
        <f t="shared" si="8"/>
        <v/>
      </c>
      <c r="S43" s="154" t="str">
        <f t="shared" si="9"/>
        <v/>
      </c>
      <c r="T43" s="155" t="str">
        <f t="shared" si="10"/>
        <v/>
      </c>
      <c r="U43" s="29" t="str">
        <f t="shared" si="11"/>
        <v/>
      </c>
      <c r="V43" s="162" t="str">
        <f t="shared" si="12"/>
        <v/>
      </c>
      <c r="W43" s="162" t="str">
        <f t="shared" si="13"/>
        <v/>
      </c>
      <c r="X43" s="67"/>
      <c r="Y43" s="68">
        <f t="shared" si="14"/>
        <v>0</v>
      </c>
      <c r="Z43" s="68">
        <f t="shared" si="15"/>
        <v>0</v>
      </c>
      <c r="AA43" s="68">
        <f t="shared" si="16"/>
        <v>0</v>
      </c>
      <c r="AB43" s="68">
        <f t="shared" si="17"/>
        <v>0</v>
      </c>
      <c r="AC43" s="68">
        <f t="shared" si="18"/>
        <v>0</v>
      </c>
      <c r="AD43" s="68">
        <f t="shared" si="19"/>
        <v>0</v>
      </c>
      <c r="AE43" s="68">
        <f t="shared" si="20"/>
        <v>0</v>
      </c>
      <c r="AF43" s="68">
        <f t="shared" si="21"/>
        <v>0</v>
      </c>
    </row>
    <row r="44" spans="1:32" x14ac:dyDescent="0.25">
      <c r="J44" s="14">
        <v>35</v>
      </c>
      <c r="K44" s="71"/>
      <c r="L44" s="121"/>
      <c r="M44" s="121"/>
      <c r="N44" s="121"/>
      <c r="O44" s="72"/>
      <c r="P44" s="30" t="str">
        <f t="shared" si="8"/>
        <v/>
      </c>
      <c r="S44" s="154" t="str">
        <f t="shared" si="9"/>
        <v/>
      </c>
      <c r="T44" s="155" t="str">
        <f t="shared" si="10"/>
        <v/>
      </c>
      <c r="U44" s="29" t="str">
        <f t="shared" si="11"/>
        <v/>
      </c>
      <c r="V44" s="162" t="str">
        <f t="shared" si="12"/>
        <v/>
      </c>
      <c r="W44" s="162" t="str">
        <f t="shared" si="13"/>
        <v/>
      </c>
      <c r="X44" s="67"/>
      <c r="Y44" s="68">
        <f t="shared" si="14"/>
        <v>0</v>
      </c>
      <c r="Z44" s="68">
        <f t="shared" si="15"/>
        <v>0</v>
      </c>
      <c r="AA44" s="68">
        <f t="shared" si="16"/>
        <v>0</v>
      </c>
      <c r="AB44" s="68">
        <f t="shared" si="17"/>
        <v>0</v>
      </c>
      <c r="AC44" s="68">
        <f t="shared" si="18"/>
        <v>0</v>
      </c>
      <c r="AD44" s="68">
        <f t="shared" si="19"/>
        <v>0</v>
      </c>
      <c r="AE44" s="68">
        <f t="shared" si="20"/>
        <v>0</v>
      </c>
      <c r="AF44" s="68">
        <f t="shared" si="21"/>
        <v>0</v>
      </c>
    </row>
    <row r="45" spans="1:32" x14ac:dyDescent="0.25">
      <c r="J45" s="14">
        <v>36</v>
      </c>
      <c r="K45" s="71"/>
      <c r="L45" s="121"/>
      <c r="M45" s="121"/>
      <c r="N45" s="121"/>
      <c r="O45" s="72"/>
      <c r="P45" s="30" t="str">
        <f t="shared" si="8"/>
        <v/>
      </c>
      <c r="S45" s="154" t="str">
        <f t="shared" si="9"/>
        <v/>
      </c>
      <c r="T45" s="155" t="str">
        <f t="shared" si="10"/>
        <v/>
      </c>
      <c r="U45" s="29" t="str">
        <f t="shared" si="11"/>
        <v/>
      </c>
      <c r="V45" s="162" t="str">
        <f t="shared" si="12"/>
        <v/>
      </c>
      <c r="W45" s="162" t="str">
        <f t="shared" si="13"/>
        <v/>
      </c>
      <c r="X45" s="67"/>
      <c r="Y45" s="68">
        <f t="shared" si="14"/>
        <v>0</v>
      </c>
      <c r="Z45" s="68">
        <f t="shared" si="15"/>
        <v>0</v>
      </c>
      <c r="AA45" s="68">
        <f t="shared" si="16"/>
        <v>0</v>
      </c>
      <c r="AB45" s="68">
        <f t="shared" si="17"/>
        <v>0</v>
      </c>
      <c r="AC45" s="68">
        <f t="shared" si="18"/>
        <v>0</v>
      </c>
      <c r="AD45" s="68">
        <f t="shared" si="19"/>
        <v>0</v>
      </c>
      <c r="AE45" s="68">
        <f t="shared" si="20"/>
        <v>0</v>
      </c>
      <c r="AF45" s="68">
        <f t="shared" si="21"/>
        <v>0</v>
      </c>
    </row>
    <row r="46" spans="1:32" x14ac:dyDescent="0.25">
      <c r="J46" s="14">
        <v>37</v>
      </c>
      <c r="K46" s="71"/>
      <c r="L46" s="121"/>
      <c r="M46" s="121"/>
      <c r="N46" s="121"/>
      <c r="O46" s="72"/>
      <c r="P46" s="30" t="str">
        <f t="shared" si="8"/>
        <v/>
      </c>
      <c r="S46" s="154" t="str">
        <f t="shared" si="9"/>
        <v/>
      </c>
      <c r="T46" s="155" t="str">
        <f t="shared" si="10"/>
        <v/>
      </c>
      <c r="U46" s="29" t="str">
        <f t="shared" si="11"/>
        <v/>
      </c>
      <c r="V46" s="162" t="str">
        <f t="shared" si="12"/>
        <v/>
      </c>
      <c r="W46" s="162" t="str">
        <f t="shared" si="13"/>
        <v/>
      </c>
      <c r="X46" s="67"/>
      <c r="Y46" s="68">
        <f t="shared" si="14"/>
        <v>0</v>
      </c>
      <c r="Z46" s="68">
        <f t="shared" si="15"/>
        <v>0</v>
      </c>
      <c r="AA46" s="68">
        <f t="shared" si="16"/>
        <v>0</v>
      </c>
      <c r="AB46" s="68">
        <f t="shared" si="17"/>
        <v>0</v>
      </c>
      <c r="AC46" s="68">
        <f t="shared" si="18"/>
        <v>0</v>
      </c>
      <c r="AD46" s="68">
        <f t="shared" si="19"/>
        <v>0</v>
      </c>
      <c r="AE46" s="68">
        <f t="shared" si="20"/>
        <v>0</v>
      </c>
      <c r="AF46" s="68">
        <f t="shared" si="21"/>
        <v>0</v>
      </c>
    </row>
    <row r="47" spans="1:32" x14ac:dyDescent="0.25">
      <c r="J47" s="14">
        <v>38</v>
      </c>
      <c r="K47" s="71"/>
      <c r="L47" s="121"/>
      <c r="M47" s="121"/>
      <c r="N47" s="121"/>
      <c r="O47" s="72"/>
      <c r="P47" s="30" t="str">
        <f t="shared" si="8"/>
        <v/>
      </c>
      <c r="S47" s="154" t="str">
        <f t="shared" si="9"/>
        <v/>
      </c>
      <c r="T47" s="155" t="str">
        <f t="shared" si="10"/>
        <v/>
      </c>
      <c r="U47" s="29" t="str">
        <f t="shared" si="11"/>
        <v/>
      </c>
      <c r="V47" s="162" t="str">
        <f t="shared" si="12"/>
        <v/>
      </c>
      <c r="W47" s="162" t="str">
        <f t="shared" si="13"/>
        <v/>
      </c>
      <c r="X47" s="67"/>
      <c r="Y47" s="68">
        <f t="shared" si="14"/>
        <v>0</v>
      </c>
      <c r="Z47" s="68">
        <f t="shared" si="15"/>
        <v>0</v>
      </c>
      <c r="AA47" s="68">
        <f t="shared" si="16"/>
        <v>0</v>
      </c>
      <c r="AB47" s="68">
        <f t="shared" si="17"/>
        <v>0</v>
      </c>
      <c r="AC47" s="68">
        <f t="shared" si="18"/>
        <v>0</v>
      </c>
      <c r="AD47" s="68">
        <f t="shared" si="19"/>
        <v>0</v>
      </c>
      <c r="AE47" s="68">
        <f t="shared" si="20"/>
        <v>0</v>
      </c>
      <c r="AF47" s="68">
        <f t="shared" si="21"/>
        <v>0</v>
      </c>
    </row>
    <row r="48" spans="1:32" x14ac:dyDescent="0.25">
      <c r="J48" s="14">
        <v>39</v>
      </c>
      <c r="K48" s="71"/>
      <c r="L48" s="121"/>
      <c r="M48" s="121"/>
      <c r="N48" s="121"/>
      <c r="O48" s="72"/>
      <c r="P48" s="30" t="str">
        <f t="shared" si="8"/>
        <v/>
      </c>
      <c r="S48" s="154" t="str">
        <f t="shared" si="9"/>
        <v/>
      </c>
      <c r="T48" s="155" t="str">
        <f t="shared" si="10"/>
        <v/>
      </c>
      <c r="U48" s="29" t="str">
        <f t="shared" si="11"/>
        <v/>
      </c>
      <c r="V48" s="162" t="str">
        <f t="shared" si="12"/>
        <v/>
      </c>
      <c r="W48" s="162" t="str">
        <f t="shared" si="13"/>
        <v/>
      </c>
      <c r="X48" s="67"/>
      <c r="Y48" s="68">
        <f t="shared" si="14"/>
        <v>0</v>
      </c>
      <c r="Z48" s="68">
        <f t="shared" si="15"/>
        <v>0</v>
      </c>
      <c r="AA48" s="68">
        <f t="shared" si="16"/>
        <v>0</v>
      </c>
      <c r="AB48" s="68">
        <f t="shared" si="17"/>
        <v>0</v>
      </c>
      <c r="AC48" s="68">
        <f t="shared" si="18"/>
        <v>0</v>
      </c>
      <c r="AD48" s="68">
        <f t="shared" si="19"/>
        <v>0</v>
      </c>
      <c r="AE48" s="68">
        <f t="shared" si="20"/>
        <v>0</v>
      </c>
      <c r="AF48" s="68">
        <f t="shared" si="21"/>
        <v>0</v>
      </c>
    </row>
    <row r="49" spans="10:32" x14ac:dyDescent="0.25">
      <c r="J49" s="14">
        <v>40</v>
      </c>
      <c r="K49" s="71"/>
      <c r="L49" s="121"/>
      <c r="M49" s="121"/>
      <c r="N49" s="121"/>
      <c r="O49" s="72"/>
      <c r="P49" s="30" t="str">
        <f t="shared" si="8"/>
        <v/>
      </c>
      <c r="S49" s="154" t="str">
        <f t="shared" si="9"/>
        <v/>
      </c>
      <c r="T49" s="155" t="str">
        <f t="shared" si="10"/>
        <v/>
      </c>
      <c r="U49" s="29" t="str">
        <f t="shared" si="11"/>
        <v/>
      </c>
      <c r="V49" s="162" t="str">
        <f t="shared" si="12"/>
        <v/>
      </c>
      <c r="W49" s="162" t="str">
        <f t="shared" si="13"/>
        <v/>
      </c>
      <c r="X49" s="67"/>
      <c r="Y49" s="68">
        <f t="shared" si="14"/>
        <v>0</v>
      </c>
      <c r="Z49" s="68">
        <f t="shared" si="15"/>
        <v>0</v>
      </c>
      <c r="AA49" s="68">
        <f t="shared" si="16"/>
        <v>0</v>
      </c>
      <c r="AB49" s="68">
        <f t="shared" si="17"/>
        <v>0</v>
      </c>
      <c r="AC49" s="68">
        <f t="shared" si="18"/>
        <v>0</v>
      </c>
      <c r="AD49" s="68">
        <f t="shared" si="19"/>
        <v>0</v>
      </c>
      <c r="AE49" s="68">
        <f t="shared" si="20"/>
        <v>0</v>
      </c>
      <c r="AF49" s="68">
        <f t="shared" si="21"/>
        <v>0</v>
      </c>
    </row>
    <row r="50" spans="10:32" x14ac:dyDescent="0.25">
      <c r="J50" s="14">
        <v>41</v>
      </c>
      <c r="K50" s="71"/>
      <c r="L50" s="121"/>
      <c r="M50" s="121"/>
      <c r="N50" s="121"/>
      <c r="O50" s="72"/>
      <c r="P50" s="30" t="str">
        <f t="shared" si="8"/>
        <v/>
      </c>
      <c r="S50" s="154" t="str">
        <f t="shared" si="9"/>
        <v/>
      </c>
      <c r="T50" s="155" t="str">
        <f t="shared" si="10"/>
        <v/>
      </c>
      <c r="U50" s="29" t="str">
        <f t="shared" si="11"/>
        <v/>
      </c>
      <c r="V50" s="162" t="str">
        <f t="shared" si="12"/>
        <v/>
      </c>
      <c r="W50" s="162" t="str">
        <f t="shared" si="13"/>
        <v/>
      </c>
      <c r="X50" s="67"/>
      <c r="Y50" s="68">
        <f t="shared" si="14"/>
        <v>0</v>
      </c>
      <c r="Z50" s="68">
        <f t="shared" si="15"/>
        <v>0</v>
      </c>
      <c r="AA50" s="68">
        <f t="shared" si="16"/>
        <v>0</v>
      </c>
      <c r="AB50" s="68">
        <f t="shared" si="17"/>
        <v>0</v>
      </c>
      <c r="AC50" s="68">
        <f t="shared" si="18"/>
        <v>0</v>
      </c>
      <c r="AD50" s="68">
        <f t="shared" si="19"/>
        <v>0</v>
      </c>
      <c r="AE50" s="68">
        <f t="shared" si="20"/>
        <v>0</v>
      </c>
      <c r="AF50" s="68">
        <f t="shared" si="21"/>
        <v>0</v>
      </c>
    </row>
    <row r="51" spans="10:32" x14ac:dyDescent="0.25">
      <c r="J51" s="14">
        <v>42</v>
      </c>
      <c r="K51" s="71"/>
      <c r="L51" s="121"/>
      <c r="M51" s="121"/>
      <c r="N51" s="121"/>
      <c r="O51" s="72"/>
      <c r="P51" s="30" t="str">
        <f t="shared" si="8"/>
        <v/>
      </c>
      <c r="S51" s="154" t="str">
        <f t="shared" si="9"/>
        <v/>
      </c>
      <c r="T51" s="155" t="str">
        <f t="shared" si="10"/>
        <v/>
      </c>
      <c r="U51" s="29" t="str">
        <f t="shared" si="11"/>
        <v/>
      </c>
      <c r="V51" s="162" t="str">
        <f t="shared" si="12"/>
        <v/>
      </c>
      <c r="W51" s="162" t="str">
        <f t="shared" si="13"/>
        <v/>
      </c>
      <c r="X51" s="67"/>
      <c r="Y51" s="68">
        <f t="shared" si="14"/>
        <v>0</v>
      </c>
      <c r="Z51" s="68">
        <f t="shared" si="15"/>
        <v>0</v>
      </c>
      <c r="AA51" s="68">
        <f t="shared" si="16"/>
        <v>0</v>
      </c>
      <c r="AB51" s="68">
        <f t="shared" si="17"/>
        <v>0</v>
      </c>
      <c r="AC51" s="68">
        <f t="shared" si="18"/>
        <v>0</v>
      </c>
      <c r="AD51" s="68">
        <f t="shared" si="19"/>
        <v>0</v>
      </c>
      <c r="AE51" s="68">
        <f t="shared" si="20"/>
        <v>0</v>
      </c>
      <c r="AF51" s="68">
        <f t="shared" si="21"/>
        <v>0</v>
      </c>
    </row>
    <row r="52" spans="10:32" x14ac:dyDescent="0.25">
      <c r="J52" s="14">
        <v>43</v>
      </c>
      <c r="K52" s="71"/>
      <c r="L52" s="122"/>
      <c r="M52" s="122"/>
      <c r="N52" s="122"/>
      <c r="O52" s="73"/>
      <c r="P52" s="30" t="str">
        <f t="shared" si="8"/>
        <v/>
      </c>
      <c r="S52" s="154" t="str">
        <f t="shared" si="9"/>
        <v/>
      </c>
      <c r="T52" s="155" t="str">
        <f t="shared" si="10"/>
        <v/>
      </c>
      <c r="U52" s="29" t="str">
        <f t="shared" si="11"/>
        <v/>
      </c>
      <c r="V52" s="162" t="str">
        <f t="shared" si="12"/>
        <v/>
      </c>
      <c r="W52" s="162" t="str">
        <f t="shared" si="13"/>
        <v/>
      </c>
      <c r="X52" s="67"/>
      <c r="Y52" s="68">
        <f t="shared" si="14"/>
        <v>0</v>
      </c>
      <c r="Z52" s="68">
        <f t="shared" si="15"/>
        <v>0</v>
      </c>
      <c r="AA52" s="68">
        <f t="shared" si="16"/>
        <v>0</v>
      </c>
      <c r="AB52" s="68">
        <f t="shared" si="17"/>
        <v>0</v>
      </c>
      <c r="AC52" s="68">
        <f t="shared" si="18"/>
        <v>0</v>
      </c>
      <c r="AD52" s="68">
        <f t="shared" si="19"/>
        <v>0</v>
      </c>
      <c r="AE52" s="68">
        <f t="shared" si="20"/>
        <v>0</v>
      </c>
      <c r="AF52" s="68">
        <f t="shared" si="21"/>
        <v>0</v>
      </c>
    </row>
    <row r="53" spans="10:32" x14ac:dyDescent="0.25">
      <c r="J53" s="14">
        <v>44</v>
      </c>
      <c r="K53" s="71"/>
      <c r="L53" s="121"/>
      <c r="M53" s="121"/>
      <c r="N53" s="121"/>
      <c r="O53" s="72"/>
      <c r="P53" s="30" t="str">
        <f t="shared" si="8"/>
        <v/>
      </c>
      <c r="S53" s="154" t="str">
        <f t="shared" si="9"/>
        <v/>
      </c>
      <c r="T53" s="155" t="str">
        <f t="shared" si="10"/>
        <v/>
      </c>
      <c r="U53" s="29" t="str">
        <f t="shared" si="11"/>
        <v/>
      </c>
      <c r="V53" s="162" t="str">
        <f t="shared" si="12"/>
        <v/>
      </c>
      <c r="W53" s="162" t="str">
        <f t="shared" si="13"/>
        <v/>
      </c>
      <c r="X53" s="67"/>
      <c r="Y53" s="68">
        <f t="shared" si="14"/>
        <v>0</v>
      </c>
      <c r="Z53" s="68">
        <f t="shared" si="15"/>
        <v>0</v>
      </c>
      <c r="AA53" s="68">
        <f t="shared" si="16"/>
        <v>0</v>
      </c>
      <c r="AB53" s="68">
        <f t="shared" si="17"/>
        <v>0</v>
      </c>
      <c r="AC53" s="68">
        <f t="shared" si="18"/>
        <v>0</v>
      </c>
      <c r="AD53" s="68">
        <f t="shared" si="19"/>
        <v>0</v>
      </c>
      <c r="AE53" s="68">
        <f t="shared" si="20"/>
        <v>0</v>
      </c>
      <c r="AF53" s="68">
        <f t="shared" si="21"/>
        <v>0</v>
      </c>
    </row>
    <row r="54" spans="10:32" x14ac:dyDescent="0.25">
      <c r="J54" s="14">
        <v>45</v>
      </c>
      <c r="K54" s="71"/>
      <c r="L54" s="121"/>
      <c r="M54" s="121"/>
      <c r="N54" s="121"/>
      <c r="O54" s="72"/>
      <c r="P54" s="30" t="str">
        <f t="shared" si="8"/>
        <v/>
      </c>
      <c r="S54" s="154" t="str">
        <f t="shared" si="9"/>
        <v/>
      </c>
      <c r="T54" s="155" t="str">
        <f t="shared" si="10"/>
        <v/>
      </c>
      <c r="U54" s="29" t="str">
        <f t="shared" si="11"/>
        <v/>
      </c>
      <c r="V54" s="162" t="str">
        <f t="shared" si="12"/>
        <v/>
      </c>
      <c r="W54" s="162" t="str">
        <f t="shared" si="13"/>
        <v/>
      </c>
      <c r="X54" s="67"/>
      <c r="Y54" s="68">
        <f t="shared" si="14"/>
        <v>0</v>
      </c>
      <c r="Z54" s="68">
        <f t="shared" si="15"/>
        <v>0</v>
      </c>
      <c r="AA54" s="68">
        <f t="shared" si="16"/>
        <v>0</v>
      </c>
      <c r="AB54" s="68">
        <f t="shared" si="17"/>
        <v>0</v>
      </c>
      <c r="AC54" s="68">
        <f t="shared" si="18"/>
        <v>0</v>
      </c>
      <c r="AD54" s="68">
        <f t="shared" si="19"/>
        <v>0</v>
      </c>
      <c r="AE54" s="68">
        <f t="shared" si="20"/>
        <v>0</v>
      </c>
      <c r="AF54" s="68">
        <f t="shared" si="21"/>
        <v>0</v>
      </c>
    </row>
    <row r="55" spans="10:32" x14ac:dyDescent="0.25">
      <c r="J55" s="14">
        <v>46</v>
      </c>
      <c r="K55" s="71"/>
      <c r="L55" s="121"/>
      <c r="M55" s="121"/>
      <c r="N55" s="121"/>
      <c r="O55" s="72"/>
      <c r="P55" s="30" t="str">
        <f t="shared" si="8"/>
        <v/>
      </c>
      <c r="S55" s="154" t="str">
        <f t="shared" si="9"/>
        <v/>
      </c>
      <c r="T55" s="155" t="str">
        <f t="shared" si="10"/>
        <v/>
      </c>
      <c r="U55" s="29" t="str">
        <f t="shared" si="11"/>
        <v/>
      </c>
      <c r="V55" s="162" t="str">
        <f t="shared" si="12"/>
        <v/>
      </c>
      <c r="W55" s="162" t="str">
        <f t="shared" si="13"/>
        <v/>
      </c>
      <c r="X55" s="67"/>
      <c r="Y55" s="68">
        <f t="shared" si="14"/>
        <v>0</v>
      </c>
      <c r="Z55" s="68">
        <f t="shared" si="15"/>
        <v>0</v>
      </c>
      <c r="AA55" s="68">
        <f t="shared" si="16"/>
        <v>0</v>
      </c>
      <c r="AB55" s="68">
        <f t="shared" si="17"/>
        <v>0</v>
      </c>
      <c r="AC55" s="68">
        <f t="shared" si="18"/>
        <v>0</v>
      </c>
      <c r="AD55" s="68">
        <f t="shared" si="19"/>
        <v>0</v>
      </c>
      <c r="AE55" s="68">
        <f t="shared" si="20"/>
        <v>0</v>
      </c>
      <c r="AF55" s="68">
        <f t="shared" si="21"/>
        <v>0</v>
      </c>
    </row>
    <row r="56" spans="10:32" x14ac:dyDescent="0.25">
      <c r="J56" s="14">
        <v>47</v>
      </c>
      <c r="K56" s="71"/>
      <c r="L56" s="121"/>
      <c r="M56" s="121"/>
      <c r="N56" s="121"/>
      <c r="O56" s="72"/>
      <c r="P56" s="30" t="str">
        <f t="shared" si="8"/>
        <v/>
      </c>
      <c r="S56" s="154" t="str">
        <f t="shared" si="9"/>
        <v/>
      </c>
      <c r="T56" s="155" t="str">
        <f t="shared" si="10"/>
        <v/>
      </c>
      <c r="U56" s="29" t="str">
        <f t="shared" si="11"/>
        <v/>
      </c>
      <c r="V56" s="162" t="str">
        <f t="shared" si="12"/>
        <v/>
      </c>
      <c r="W56" s="162" t="str">
        <f t="shared" si="13"/>
        <v/>
      </c>
      <c r="X56" s="67"/>
      <c r="Y56" s="68">
        <f t="shared" si="14"/>
        <v>0</v>
      </c>
      <c r="Z56" s="68">
        <f t="shared" si="15"/>
        <v>0</v>
      </c>
      <c r="AA56" s="68">
        <f t="shared" si="16"/>
        <v>0</v>
      </c>
      <c r="AB56" s="68">
        <f t="shared" si="17"/>
        <v>0</v>
      </c>
      <c r="AC56" s="68">
        <f t="shared" si="18"/>
        <v>0</v>
      </c>
      <c r="AD56" s="68">
        <f t="shared" si="19"/>
        <v>0</v>
      </c>
      <c r="AE56" s="68">
        <f t="shared" si="20"/>
        <v>0</v>
      </c>
      <c r="AF56" s="68">
        <f t="shared" si="21"/>
        <v>0</v>
      </c>
    </row>
    <row r="57" spans="10:32" x14ac:dyDescent="0.25">
      <c r="J57" s="14">
        <v>48</v>
      </c>
      <c r="K57" s="71"/>
      <c r="L57" s="121"/>
      <c r="M57" s="121"/>
      <c r="N57" s="121"/>
      <c r="O57" s="72"/>
      <c r="P57" s="30" t="str">
        <f t="shared" si="8"/>
        <v/>
      </c>
      <c r="S57" s="154" t="str">
        <f t="shared" si="9"/>
        <v/>
      </c>
      <c r="T57" s="155" t="str">
        <f t="shared" si="10"/>
        <v/>
      </c>
      <c r="U57" s="29" t="str">
        <f t="shared" si="11"/>
        <v/>
      </c>
      <c r="V57" s="162" t="str">
        <f t="shared" si="12"/>
        <v/>
      </c>
      <c r="W57" s="162" t="str">
        <f t="shared" si="13"/>
        <v/>
      </c>
      <c r="X57" s="67"/>
      <c r="Y57" s="68">
        <f t="shared" si="14"/>
        <v>0</v>
      </c>
      <c r="Z57" s="68">
        <f t="shared" si="15"/>
        <v>0</v>
      </c>
      <c r="AA57" s="68">
        <f t="shared" si="16"/>
        <v>0</v>
      </c>
      <c r="AB57" s="68">
        <f t="shared" si="17"/>
        <v>0</v>
      </c>
      <c r="AC57" s="68">
        <f t="shared" si="18"/>
        <v>0</v>
      </c>
      <c r="AD57" s="68">
        <f t="shared" si="19"/>
        <v>0</v>
      </c>
      <c r="AE57" s="68">
        <f t="shared" si="20"/>
        <v>0</v>
      </c>
      <c r="AF57" s="68">
        <f t="shared" si="21"/>
        <v>0</v>
      </c>
    </row>
    <row r="58" spans="10:32" x14ac:dyDescent="0.25">
      <c r="J58" s="14">
        <v>49</v>
      </c>
      <c r="K58" s="71"/>
      <c r="L58" s="121"/>
      <c r="M58" s="121"/>
      <c r="N58" s="121"/>
      <c r="O58" s="72"/>
      <c r="P58" s="30" t="str">
        <f t="shared" si="8"/>
        <v/>
      </c>
      <c r="S58" s="158" t="str">
        <f t="shared" si="9"/>
        <v/>
      </c>
      <c r="T58" s="159" t="str">
        <f t="shared" si="10"/>
        <v/>
      </c>
      <c r="U58" s="29" t="str">
        <f t="shared" si="11"/>
        <v/>
      </c>
      <c r="V58" s="162" t="str">
        <f t="shared" si="12"/>
        <v/>
      </c>
      <c r="W58" s="162" t="str">
        <f t="shared" si="13"/>
        <v/>
      </c>
      <c r="X58" s="67"/>
      <c r="Y58" s="68">
        <f t="shared" si="14"/>
        <v>0</v>
      </c>
      <c r="Z58" s="68">
        <f t="shared" si="15"/>
        <v>0</v>
      </c>
      <c r="AA58" s="68">
        <f t="shared" si="16"/>
        <v>0</v>
      </c>
      <c r="AB58" s="68">
        <f t="shared" si="17"/>
        <v>0</v>
      </c>
      <c r="AC58" s="68">
        <f t="shared" si="18"/>
        <v>0</v>
      </c>
      <c r="AD58" s="68">
        <f t="shared" si="19"/>
        <v>0</v>
      </c>
      <c r="AE58" s="68">
        <f t="shared" si="20"/>
        <v>0</v>
      </c>
      <c r="AF58" s="68">
        <f t="shared" si="21"/>
        <v>0</v>
      </c>
    </row>
    <row r="59" spans="10:32" ht="15.75" thickBot="1" x14ac:dyDescent="0.3">
      <c r="J59" s="14">
        <v>50</v>
      </c>
      <c r="K59" s="74"/>
      <c r="L59" s="123"/>
      <c r="M59" s="123"/>
      <c r="N59" s="123"/>
      <c r="O59" s="75"/>
      <c r="P59" s="30" t="str">
        <f t="shared" si="8"/>
        <v/>
      </c>
      <c r="S59" s="156" t="str">
        <f t="shared" si="9"/>
        <v/>
      </c>
      <c r="T59" s="157" t="str">
        <f t="shared" si="10"/>
        <v/>
      </c>
      <c r="U59" s="29" t="str">
        <f t="shared" si="11"/>
        <v/>
      </c>
      <c r="V59" s="162" t="str">
        <f t="shared" si="12"/>
        <v/>
      </c>
      <c r="W59" s="162" t="str">
        <f t="shared" si="13"/>
        <v/>
      </c>
      <c r="X59" s="67"/>
      <c r="Y59" s="68">
        <f t="shared" si="14"/>
        <v>0</v>
      </c>
      <c r="Z59" s="68">
        <f t="shared" si="15"/>
        <v>0</v>
      </c>
      <c r="AA59" s="68">
        <f t="shared" si="16"/>
        <v>0</v>
      </c>
      <c r="AB59" s="68">
        <f t="shared" si="17"/>
        <v>0</v>
      </c>
      <c r="AC59" s="68">
        <f t="shared" si="18"/>
        <v>0</v>
      </c>
      <c r="AD59" s="68">
        <f t="shared" si="19"/>
        <v>0</v>
      </c>
      <c r="AE59" s="68">
        <f t="shared" si="20"/>
        <v>0</v>
      </c>
      <c r="AF59" s="68">
        <f t="shared" si="21"/>
        <v>0</v>
      </c>
    </row>
    <row r="60" spans="10:32" ht="15.75" thickTop="1" x14ac:dyDescent="0.25">
      <c r="X60" s="68" t="s">
        <v>37</v>
      </c>
      <c r="Y60" s="68">
        <f>SUM(Y10:Y59)</f>
        <v>7800</v>
      </c>
      <c r="Z60" s="68">
        <f>SUM(Z10:Z59)</f>
        <v>7000</v>
      </c>
      <c r="AA60" s="68">
        <f>SUM(AA10:AA59)</f>
        <v>11200</v>
      </c>
      <c r="AB60" s="68">
        <f t="shared" ref="AB60:AF60" si="22">SUM(AB10:AB59)</f>
        <v>4000</v>
      </c>
      <c r="AC60" s="68">
        <f t="shared" si="22"/>
        <v>18000</v>
      </c>
      <c r="AD60" s="68">
        <f t="shared" si="22"/>
        <v>13200</v>
      </c>
      <c r="AE60" s="68">
        <f t="shared" si="22"/>
        <v>13800</v>
      </c>
      <c r="AF60" s="68">
        <f t="shared" si="22"/>
        <v>5000</v>
      </c>
    </row>
  </sheetData>
  <sheetProtection algorithmName="SHA-512" hashValue="wr5x4zzznNH0s8xe/6T6AHMOlxyypyMkmwwz1j0vVEFVisZVlKmYHQE+oDKewFCzKopgMOlT9x6Yxq3RPpq2Mw==" saltValue="42oKZ5BcmiisKx5CSKUJNw==" spinCount="100000" sheet="1" objects="1" scenarios="1" selectLockedCells="1"/>
  <mergeCells count="14">
    <mergeCell ref="B21:F21"/>
    <mergeCell ref="G21:H21"/>
    <mergeCell ref="Y7:AF7"/>
    <mergeCell ref="Y8:AB8"/>
    <mergeCell ref="AC8:AF8"/>
    <mergeCell ref="B19:F19"/>
    <mergeCell ref="G19:H19"/>
    <mergeCell ref="G20:H20"/>
    <mergeCell ref="B24:F24"/>
    <mergeCell ref="G24:H24"/>
    <mergeCell ref="G23:H23"/>
    <mergeCell ref="B23:F23"/>
    <mergeCell ref="G22:H22"/>
    <mergeCell ref="B22:F22"/>
  </mergeCells>
  <conditionalFormatting sqref="S10:T59">
    <cfRule type="containsBlanks" dxfId="5" priority="1">
      <formula>LEN(TRIM(S10))=0</formula>
    </cfRule>
    <cfRule type="cellIs" dxfId="4" priority="2" operator="lessThan">
      <formula>10</formula>
    </cfRule>
  </conditionalFormatting>
  <dataValidations count="8">
    <dataValidation type="whole" allowBlank="1" showInputMessage="1" showErrorMessage="1" errorTitle="Incorrect Input" error="Only 1, 2, 3, and 4 allowed." promptTitle="Server Class" prompt="Only 1, 2, 3, and 4 allowed." sqref="O10:O59" xr:uid="{146D2135-D5C7-4150-B13E-A88057C4074E}">
      <formula1>1</formula1>
      <formula2>4</formula2>
    </dataValidation>
    <dataValidation type="decimal" allowBlank="1" showInputMessage="1" showErrorMessage="1" errorTitle="Inorrect Value" error="Only values between 0 and 100,000 [W] allowed" promptTitle="Max Power:" prompt="Enter value between 0 and 100,000 [W]" sqref="N10:N59" xr:uid="{F77934FB-FEEF-4DFF-AAD8-D743CC296F8E}">
      <formula1>0</formula1>
      <formula2>100000</formula2>
    </dataValidation>
    <dataValidation type="whole" allowBlank="1" showInputMessage="1" showErrorMessage="1" errorTitle="Inorrect Value" error="Only values between 0 and 1000 allowed" promptTitle="Number of Units:" prompt="Enter value between 0 and 1000" sqref="L10:L59" xr:uid="{EC0BDB83-E6CC-478D-84B8-A088E2A7586E}">
      <formula1>0</formula1>
      <formula2>1000</formula2>
    </dataValidation>
    <dataValidation type="decimal" allowBlank="1" showInputMessage="1" showErrorMessage="1" errorTitle="Inorrect Value" error="Only values between 0 and 100,000 [W] allowed" promptTitle="Actual Power:" prompt="Enter value between 0 and 100,000 [W]" sqref="M10:M59" xr:uid="{2679A685-6543-4F3B-BDED-04FBCE610C4C}">
      <formula1>0</formula1>
      <formula2>100000</formula2>
    </dataValidation>
    <dataValidation type="textLength" operator="lessThanOrEqual" allowBlank="1" showInputMessage="1" showErrorMessage="1" errorTitle="Too long identifier" error="Only max six characters allowed" promptTitle="Server Name:" prompt="Enter identifier no longer than six characters" sqref="K10:K59" xr:uid="{03CAF65A-4AB6-45AE-A672-E712813B235C}">
      <formula1>6</formula1>
    </dataValidation>
    <dataValidation type="textLength" operator="lessThanOrEqual" allowBlank="1" showInputMessage="1" showErrorMessage="1" errorTitle="Too long description" error="Only max 40 characters allowed" promptTitle="Class description:" prompt="Enter description no more than 40 characters" sqref="B21:F21 B23:F24" xr:uid="{303381E1-2DBB-4837-8A39-F9474FE5521F}">
      <formula1>40</formula1>
    </dataValidation>
    <dataValidation type="textLength" allowBlank="1" showInputMessage="1" showErrorMessage="1" errorTitle="Ivalid entry" error="Text length is limited to 40 characters." promptTitle="Class description:" prompt="Enter description no more than 40 characters." sqref="B22:F22" xr:uid="{ABEF3F0C-DDAB-4CC0-B38B-F565442475F6}">
      <formula1>0</formula1>
      <formula2>40</formula2>
    </dataValidation>
    <dataValidation type="list" operator="lessThanOrEqual" showInputMessage="1" showErrorMessage="1" errorTitle="Incorrect value:" error="Select from drop-down menu." promptTitle="Power Performance:" prompt="Select from drop-down menu." sqref="G21:H24" xr:uid="{FCA1003E-B0EC-4664-8AE5-EA5CA71C2549}">
      <formula1>"High,Mid,Low"</formula1>
    </dataValidation>
  </dataValidations>
  <pageMargins left="0.7" right="0.7" top="0.75" bottom="0.75" header="0.3" footer="0.3"/>
  <pageSetup scale="4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3DC7E-23EB-4F9C-B840-6E46E95C04E1}">
  <sheetPr>
    <tabColor rgb="FFFF0000"/>
    <pageSetUpPr fitToPage="1"/>
  </sheetPr>
  <dimension ref="A2:U37"/>
  <sheetViews>
    <sheetView showGridLines="0" zoomScaleNormal="100" workbookViewId="0">
      <selection activeCell="I23" sqref="I23"/>
    </sheetView>
  </sheetViews>
  <sheetFormatPr defaultRowHeight="15" x14ac:dyDescent="0.25"/>
  <cols>
    <col min="1" max="1" width="9.140625" customWidth="1"/>
    <col min="2" max="2" width="5" customWidth="1"/>
    <col min="3" max="12" width="10.7109375" customWidth="1"/>
    <col min="13" max="13" width="5.42578125" customWidth="1"/>
    <col min="16" max="16" width="19.5703125" customWidth="1"/>
  </cols>
  <sheetData>
    <row r="2" spans="1:21" x14ac:dyDescent="0.25">
      <c r="A2" s="11" t="s">
        <v>20</v>
      </c>
      <c r="B2" s="12"/>
      <c r="C2" s="5"/>
    </row>
    <row r="5" spans="1:21" x14ac:dyDescent="0.25">
      <c r="E5" s="29"/>
      <c r="F5" s="29"/>
    </row>
    <row r="6" spans="1:21" x14ac:dyDescent="0.25">
      <c r="C6" s="1" t="s">
        <v>167</v>
      </c>
      <c r="J6" s="85"/>
      <c r="N6" s="1" t="s">
        <v>150</v>
      </c>
    </row>
    <row r="7" spans="1:21" ht="15.75" thickBot="1" x14ac:dyDescent="0.3">
      <c r="N7" s="1" t="s">
        <v>149</v>
      </c>
    </row>
    <row r="8" spans="1:21" ht="16.5" thickTop="1" thickBot="1" x14ac:dyDescent="0.3">
      <c r="C8" s="254" t="s">
        <v>122</v>
      </c>
      <c r="D8" s="255"/>
      <c r="E8" s="255"/>
      <c r="F8" s="256"/>
      <c r="G8" s="259" t="s">
        <v>123</v>
      </c>
      <c r="H8" s="260"/>
      <c r="I8" s="260"/>
      <c r="J8" s="260"/>
      <c r="K8" s="261"/>
      <c r="L8" s="31"/>
      <c r="N8" s="1" t="s">
        <v>148</v>
      </c>
    </row>
    <row r="9" spans="1:21" ht="30" customHeight="1" x14ac:dyDescent="0.25">
      <c r="C9" s="32" t="s">
        <v>22</v>
      </c>
      <c r="D9" s="33" t="s">
        <v>23</v>
      </c>
      <c r="E9" s="33" t="s">
        <v>24</v>
      </c>
      <c r="F9" s="33" t="s">
        <v>118</v>
      </c>
      <c r="G9" s="33" t="s">
        <v>22</v>
      </c>
      <c r="H9" s="33" t="s">
        <v>23</v>
      </c>
      <c r="I9" s="33" t="s">
        <v>24</v>
      </c>
      <c r="J9" s="257" t="s">
        <v>119</v>
      </c>
      <c r="K9" s="79" t="s">
        <v>128</v>
      </c>
      <c r="L9" s="81" t="s">
        <v>24</v>
      </c>
    </row>
    <row r="10" spans="1:21" ht="15.75" thickBot="1" x14ac:dyDescent="0.3">
      <c r="C10" s="22" t="s">
        <v>25</v>
      </c>
      <c r="D10" s="19" t="s">
        <v>25</v>
      </c>
      <c r="E10" s="19" t="s">
        <v>53</v>
      </c>
      <c r="F10" s="19" t="s">
        <v>53</v>
      </c>
      <c r="G10" s="19" t="s">
        <v>25</v>
      </c>
      <c r="H10" s="19" t="s">
        <v>25</v>
      </c>
      <c r="I10" s="19" t="s">
        <v>53</v>
      </c>
      <c r="J10" s="258"/>
      <c r="K10" s="83" t="s">
        <v>120</v>
      </c>
      <c r="L10" s="82" t="s">
        <v>54</v>
      </c>
      <c r="M10" s="77" t="s">
        <v>126</v>
      </c>
      <c r="N10" s="125" t="s">
        <v>127</v>
      </c>
      <c r="O10" s="55"/>
    </row>
    <row r="11" spans="1:21" ht="15.75" thickTop="1" x14ac:dyDescent="0.25">
      <c r="A11" s="248" t="s">
        <v>44</v>
      </c>
      <c r="B11" s="249"/>
      <c r="C11" s="127"/>
      <c r="D11" s="129"/>
      <c r="E11" s="128"/>
      <c r="F11" s="84"/>
      <c r="G11" s="109">
        <v>490</v>
      </c>
      <c r="H11" s="110">
        <v>1000</v>
      </c>
      <c r="I11" s="170">
        <f>IF(G11&gt;H11,"",IF(OR(H11=0,H11="",G11=""),"",100*G11/H11))</f>
        <v>49</v>
      </c>
      <c r="J11" s="171">
        <f>IF(Q17="High",IF(OR(I11&lt;26,I11=0,I11=""),"",(-43.68376 + 2.392249*I11 - 0.01333084*I11^2 + 0.00005588947*I11^3 - 0.000000181562*I11^4)),IF(Q17="Mid",IF(OR(I11&lt;36,I11=0,I11=""),"",(-56.34485 + 1.694407*I11 + 0.01042965*I11^2 - 0.0001824291*I11^3 + (6.501515/10000000)*I11^4)),IF(OR(I11&lt;48,I11=0,I11=""),"",(-13.06002 - 2.321858*I11 + 0.09423105*I11^2 - 0.0008843781*I11^3 + 0.000002872627*I11^4))))</f>
        <v>47.057765616868004</v>
      </c>
      <c r="K11" s="98"/>
      <c r="L11" s="100">
        <f>IF(G11&gt;H11,"",IF(G11="","",-G11))</f>
        <v>-490</v>
      </c>
      <c r="M11" s="89" t="s">
        <v>141</v>
      </c>
      <c r="N11" s="30" t="str">
        <f>IF(I23="Yes",IF(AND(G11&lt;&gt;"",H11=""),"ERROR: Target Max Power needs value.",IF(AND(H11&lt;&gt;"",G11=""),"ERROR: Target Actual Power needs value.","")),"")</f>
        <v/>
      </c>
    </row>
    <row r="12" spans="1:21" x14ac:dyDescent="0.25">
      <c r="A12" s="250" t="s">
        <v>45</v>
      </c>
      <c r="B12" s="251"/>
      <c r="C12" s="112">
        <v>800</v>
      </c>
      <c r="D12" s="153">
        <v>4000</v>
      </c>
      <c r="E12" s="163">
        <f>IF(C12&gt;D12,"",IF(OR(D12=0,D12="",C12=""),"",100*C12/D12))</f>
        <v>20</v>
      </c>
      <c r="F12" s="164" t="str">
        <f>IF(Q15="High",IF(OR(E12&lt;26,E12=0,E12=""),"",(-43.68376 + 2.392249*E12 - 0.01333084*E12^2 + 0.00005588947*E12^3 - 0.000000181562*E12^4)),IF(Q15="Mid",IF(OR(E12&lt;36,E12=0,E12=""),"",(-56.34485 + 1.694407*E12 + 0.01042965*E12^2 - 0.0001824291*E12^3 + (6.501515/10000000)*E12^4)),IF(OR(E12&lt;48,E12=0,E12=""),"",(-13.06002 - 2.321858*E12 + 0.09423105*E12^2 - 0.0008843781*E12^3 + 0.000002872627*E12^4))))</f>
        <v/>
      </c>
      <c r="G12" s="130"/>
      <c r="H12" s="95"/>
      <c r="I12" s="172"/>
      <c r="J12" s="173"/>
      <c r="K12" s="99"/>
      <c r="L12" s="101">
        <f>IF(C12&gt;D12,"",IF(C12="","",C12))</f>
        <v>800</v>
      </c>
      <c r="M12" s="89" t="s">
        <v>142</v>
      </c>
      <c r="N12" s="30" t="str">
        <f>IF(I23="Yes",IF(AND(C12&lt;&gt;"",D12=""),"ERROR: Current Max Power needs value.",IF(AND(D12&lt;&gt;"",C12=""),"ERROR: Current Actual Power needs value.","")),"")</f>
        <v/>
      </c>
      <c r="P12" s="30"/>
    </row>
    <row r="13" spans="1:21" x14ac:dyDescent="0.25">
      <c r="A13" s="250" t="s">
        <v>46</v>
      </c>
      <c r="B13" s="251"/>
      <c r="C13" s="112"/>
      <c r="D13" s="111"/>
      <c r="E13" s="163" t="str">
        <f t="shared" ref="E13:E18" si="0">IF(C13&gt;D13,"",IF(OR(D13=0,D13="",C13=""),"",100*C13/D13))</f>
        <v/>
      </c>
      <c r="F13" s="164" t="str">
        <f>IF(Q15="High",IF(OR(E13&lt;26,E13=0,E13=""),"",(-43.68376 + 2.392249*E13 - 0.01333084*E13^2 + 0.00005588947*E13^3 - 0.000000181562*E13^4)),IF(Q15="Mid",IF(OR(E13&lt;36,E13=0,E13=""),"",(-56.34485 + 1.694407*E13 + 0.01042965*E13^2 - 0.0001824291*E13^3 + (6.501515/10000000)*E13^4)),IF(OR(E13&lt;48,E13=0,E13=""),"",(-13.06002 - 2.321858*E13 + 0.09423105*E13^2 - 0.0008843781*E13^3 + 0.000002872627*E13^4))))</f>
        <v/>
      </c>
      <c r="G13" s="142" t="str">
        <f>IF(C13="","",C13*(1-K13))</f>
        <v/>
      </c>
      <c r="H13" s="117" t="str">
        <f>IF(D13="","",D13*(1-K13))</f>
        <v/>
      </c>
      <c r="I13" s="174" t="str">
        <f t="shared" ref="I13:I17" si="1">IF(G13&gt;H13,"",IF(OR(H13=0,H13="",G13=""),"",100*G13/H13))</f>
        <v/>
      </c>
      <c r="J13" s="163" t="str">
        <f>F13</f>
        <v/>
      </c>
      <c r="K13" s="266">
        <v>0</v>
      </c>
      <c r="L13" s="101" t="str">
        <f>IF(C13&gt;D13,"",IF(OR(K13="",G13="",C13=""),"",IF(C13="","",C13-G13)))</f>
        <v/>
      </c>
      <c r="M13" s="89" t="s">
        <v>143</v>
      </c>
      <c r="N13" s="30" t="str">
        <f>IF(I23="Yes",IF(AND(C13&lt;&gt;"",D13=""),"ERROR: Current Max Power needs value.",IF(AND(D13&lt;&gt;"",C13=""),"ERROR: Current Actual Power needs value.","")),"")</f>
        <v/>
      </c>
      <c r="P13" s="30"/>
    </row>
    <row r="14" spans="1:21" ht="15.75" thickBot="1" x14ac:dyDescent="0.3">
      <c r="A14" s="252" t="s">
        <v>47</v>
      </c>
      <c r="B14" s="253"/>
      <c r="C14" s="144"/>
      <c r="D14" s="145"/>
      <c r="E14" s="165" t="str">
        <f t="shared" si="0"/>
        <v/>
      </c>
      <c r="F14" s="166"/>
      <c r="G14" s="144"/>
      <c r="H14" s="145"/>
      <c r="I14" s="152"/>
      <c r="J14" s="175"/>
      <c r="K14" s="95"/>
      <c r="L14" s="126"/>
      <c r="M14" s="93" t="s">
        <v>151</v>
      </c>
      <c r="P14" s="30"/>
      <c r="Q14" s="143" t="s">
        <v>162</v>
      </c>
      <c r="U14" s="93"/>
    </row>
    <row r="15" spans="1:21" ht="15.75" thickBot="1" x14ac:dyDescent="0.3">
      <c r="A15" s="250" t="s">
        <v>48</v>
      </c>
      <c r="B15" s="251"/>
      <c r="C15" s="112">
        <v>7000</v>
      </c>
      <c r="D15" s="111">
        <v>14000</v>
      </c>
      <c r="E15" s="163">
        <f t="shared" si="0"/>
        <v>50</v>
      </c>
      <c r="F15" s="164">
        <f>IF(Q15="High",IF(OR(E15&lt;26,E15=0,E15=""),"",(-43.68376 + 2.392249*E15 - 0.01333084*E15^2 + 0.00005588947*E15^3 - 0.000000181562*E15^4)),IF(Q15="Mid",IF(OR(E15&lt;36,E15=0,E15=""),"",(-56.34485 + 1.694407*E15 + 0.01042965*E15^2 - 0.0001824291*E15^3 + (6.501515/10000000)*E15^4)),IF(OR(E15&lt;48,E15=0,E15=""),"",(-13.06002 - 2.321858*E15 + 0.09423105*E15^2 - 0.0008843781*E15^3 + 0.000002872627*E15^4))))</f>
        <v>48.453011250000017</v>
      </c>
      <c r="G15" s="112">
        <v>5000</v>
      </c>
      <c r="H15" s="153">
        <v>8000</v>
      </c>
      <c r="I15" s="174">
        <f t="shared" si="1"/>
        <v>62.5</v>
      </c>
      <c r="J15" s="176">
        <f>IF(Q17="High",IF(OR(I15&lt;26,I15=0,I15=""),"",(-43.68376 + 2.392249*I15 - 0.01333084*I15^2 + 0.00005588947*I15^3 - 0.000000181562*I15^4)),IF(Q17="Mid",IF(OR(I15&lt;36,I15=0,I15=""),"",(-56.34485 + 1.694407*I15 + 0.01042965*I15^2 - 0.0001824291*I15^3 + (6.501515/10000000)*I15^4)),IF(OR(I15&lt;48,I15=0,I15=""),"",(-13.06002 - 2.321858*I15 + 0.09423105*I15^2 - 0.0008843781*I15^3 + 0.000002872627*I15^4))))</f>
        <v>64.632682626953141</v>
      </c>
      <c r="K15" s="152"/>
      <c r="L15" s="101">
        <f>IF(C15&gt;D15,"",IF(OR(C15="",G15=""),"",IF(C15="","",C15-G15)))</f>
        <v>2000</v>
      </c>
      <c r="M15" s="89" t="s">
        <v>144</v>
      </c>
      <c r="N15" s="30" t="str">
        <f>IF(I23="Yes",IF(AND(C15&lt;&gt;"",D15=""),"ERROR: Current Max Power needs value.",IF(AND(D15&lt;&gt;"",C15=""),"ERROR: Current Actual Power needs value.",IF(AND(G15&lt;&gt;"",H15=""),"ERROR: Target Max Power needs value.",IF(AND(H15&lt;&gt;"",G15=""),"ERROR: Target Actual Power needs value.","")))),"")</f>
        <v/>
      </c>
      <c r="Q15" s="148" t="str">
        <f>Inventory!G21</f>
        <v>High</v>
      </c>
      <c r="R15" s="68" t="str">
        <f>IF(Q15="Mid","2",IF(Q15="Low","1",IF(Q15="High","3","")))</f>
        <v>3</v>
      </c>
    </row>
    <row r="16" spans="1:21" x14ac:dyDescent="0.25">
      <c r="A16" s="250" t="s">
        <v>49</v>
      </c>
      <c r="B16" s="251"/>
      <c r="C16" s="112"/>
      <c r="D16" s="111"/>
      <c r="E16" s="163" t="str">
        <f t="shared" si="0"/>
        <v/>
      </c>
      <c r="F16" s="164" t="str">
        <f>IF(Q15="High",IF(OR(E16&lt;26,E16=0,E16=""),"",(-43.68376 + 2.392249*E16 - 0.01333084*E16^2 + 0.00005588947*E16^3 - 0.000000181562*E16^4)),IF(Q15="Mid",IF(OR(E16&lt;36,E16=0,E16=""),"",(-56.34485 + 1.694407*E16 + 0.01042965*E16^2 - 0.0001824291*E16^3 + (6.501515/10000000)*E16^4)),IF(OR(E16&lt;48,E16=0,E16=""),"",(-13.06002 - 2.321858*E16 + 0.09423105*E16^2 - 0.0008843781*E16^3 + 0.000002872627*E16^4))))</f>
        <v/>
      </c>
      <c r="G16" s="112"/>
      <c r="H16" s="153"/>
      <c r="I16" s="174" t="str">
        <f t="shared" si="1"/>
        <v/>
      </c>
      <c r="J16" s="176" t="str">
        <f>IF(Q17="High",IF(OR(I16&lt;26,I16=0,I16=""),"",(-43.68376 + 2.392249*I16 - 0.01333084*I16^2 + 0.00005588947*I16^3 - 0.000000181562*I16^4)),IF(Q17="Mid",IF(OR(I16&lt;36,I16=0,I16=""),"",(-56.34485 + 1.694407*I16 + 0.01042965*I16^2 - 0.0001824291*I16^3 + (6.501515/10000000)*I16^4)),IF(OR(I16&lt;48,I16=0,I16=""),"",(-13.06002 - 2.321858*I16 + 0.09423105*I16^2 - 0.0008843781*I16^3 + 0.000002872627*I16^4))))</f>
        <v/>
      </c>
      <c r="K16" s="152"/>
      <c r="L16" s="101" t="str">
        <f t="shared" ref="L16:L18" si="2">IF(C16&gt;D16,"",IF(OR(C16="",G16=""),"",IF(C16="","",C16-G16)))</f>
        <v/>
      </c>
      <c r="M16" s="89" t="s">
        <v>145</v>
      </c>
      <c r="N16" s="30" t="str">
        <f>IF(I23="Yes",IF(AND(C16&lt;&gt;"",D16=""),"ERROR: Current Max Power needs value.",IF(AND(D16&lt;&gt;"",C16=""),"ERROR: Current Actual Power needs value.",IF(AND(G16&lt;&gt;"",H16=""),"ERROR: Target Max Power needs value.",IF(AND(H16&lt;&gt;"",G16=""),"ERROR: Target Actual Power needs value.","")))),"")</f>
        <v/>
      </c>
      <c r="Q16" s="149"/>
    </row>
    <row r="17" spans="1:18" x14ac:dyDescent="0.25">
      <c r="A17" s="262" t="s">
        <v>50</v>
      </c>
      <c r="B17" s="263"/>
      <c r="C17" s="113"/>
      <c r="D17" s="114"/>
      <c r="E17" s="163" t="str">
        <f t="shared" si="0"/>
        <v/>
      </c>
      <c r="F17" s="164" t="str">
        <f>IF(Q15="High",IF(OR(E17&lt;26,E17=0,E17=""),"",(-43.68376 + 2.392249*E17 - 0.01333084*E17^2 + 0.00005588947*E17^3 - 0.000000181562*E17^4)),IF(Q15="Mid",IF(OR(E17&lt;36,E17=0,E17=""),"",(-56.34485 + 1.694407*E17 + 0.01042965*E17^2 - 0.0001824291*E17^3 + (6.501515/10000000)*E17^4)),IF(OR(E17&lt;48,E17=0,E17=""),"",(-13.06002 - 2.321858*E17 + 0.09423105*E17^2 - 0.0008843781*E17^3 + 0.000002872627*E17^4))))</f>
        <v/>
      </c>
      <c r="G17" s="103" t="str">
        <f>IF(C17&gt;D17,"",IF(C17="","",C17))</f>
        <v/>
      </c>
      <c r="H17" s="104" t="str">
        <f>IF(C17&gt;D17,"",IF(D17="","",D17))</f>
        <v/>
      </c>
      <c r="I17" s="177" t="str">
        <f t="shared" si="1"/>
        <v/>
      </c>
      <c r="J17" s="178" t="str">
        <f>IF(Q15="High",IF(OR(E17&lt;26,E17=0,E17=""),"",(-43.68376 + 2.392249*E17 - 0.01333084*E17^2 + 0.00005588947*E17^3 - 0.000000181562*E17^4)),IF(Q15="Mid",IF(OR(E17&lt;36,E17=0,E17=""),"",(-56.34485 + 1.694407*E17 + 0.01042965*E17^2 - 0.0001824291*E17^3 + (6.501515/10000000)*E17^4)),IF(OR(E17&lt;48,E17=0,E17=""),"",(-13.06002 - 2.321858*E17 + 0.09423105*E17^2 - 0.0008843781*E17^3 + 0.000002872627*E17^4))))</f>
        <v/>
      </c>
      <c r="K17" s="95"/>
      <c r="L17" s="101" t="str">
        <f t="shared" si="2"/>
        <v/>
      </c>
      <c r="M17" s="89" t="s">
        <v>146</v>
      </c>
      <c r="N17" s="30" t="str">
        <f>IF(I23="Yes",IF(AND(C17&lt;&gt;"",D17=""),"ERROR: Current Max Power needs value.",IF(AND(D17&lt;&gt;"",C17=""),"ERROR: Current Actual Power needs value.","")),"")</f>
        <v/>
      </c>
      <c r="Q17" s="150" t="str">
        <f>Inventory!G21</f>
        <v>High</v>
      </c>
      <c r="R17" s="68" t="str">
        <f>IF(Q17="Mid","2",IF(Q17="Low","1",IF(Q17="High","3","")))</f>
        <v>3</v>
      </c>
    </row>
    <row r="18" spans="1:18" ht="15.75" thickBot="1" x14ac:dyDescent="0.3">
      <c r="A18" s="264" t="s">
        <v>155</v>
      </c>
      <c r="B18" s="265"/>
      <c r="C18" s="105"/>
      <c r="D18" s="115"/>
      <c r="E18" s="163" t="str">
        <f t="shared" si="0"/>
        <v/>
      </c>
      <c r="F18" s="167" t="str">
        <f>IF(Q15="High",IF(OR(E18&lt;26,E18=0,E18=""),"",(-43.68376 + 2.392249*E18 - 0.01333084*E18^2 + 0.00005588947*E18^3 - 0.000000181562*E18^4)),IF(Q15="Mid",IF(OR(E18&lt;36,E18=0,E18=""),"",(-56.34485 + 1.694407*E18 + 0.01042965*E18^2 - 0.0001824291*E18^3 + (6.501515/10000000)*E18^4)),IF(OR(E18&lt;48,E18=0,E18=""),"",(-13.06002 - 2.321858*E18 + 0.09423105*E18^2 - 0.0008843781*E18^3 + 0.000002872627*E18^4))))</f>
        <v/>
      </c>
      <c r="G18" s="105"/>
      <c r="H18" s="106"/>
      <c r="I18" s="179" t="str">
        <f>IF(G18&gt;H18,"",IF(OR(H18=0,H18="",G18=""),"",100*G18/H18))</f>
        <v/>
      </c>
      <c r="J18" s="178" t="str">
        <f>IF(Q17="High",IF(OR(I18&lt;26,I18=0,I18=""),"",(-43.68376 + 2.392249*I18 - 0.01333084*I18^2 + 0.00005588947*I18^3 - 0.000000181562*I18^4)),IF(Q17="Mid",IF(OR(I18&lt;36,I18=0,I18=""),"",(-56.34485 + 1.694407*I18 + 0.01042965*I18^2 - 0.0001824291*I18^3 + (6.501515/10000000)*I18^4)),IF(OR(I18&lt;48,I18=0,I18=""),"",(-13.06002 - 2.321858*I18 + 0.09423105*I18^2 - 0.0008843781*I18^3 + 0.000002872627*I18^4))))</f>
        <v/>
      </c>
      <c r="K18" s="96"/>
      <c r="L18" s="101" t="str">
        <f t="shared" si="2"/>
        <v/>
      </c>
      <c r="M18" s="89" t="s">
        <v>173</v>
      </c>
      <c r="N18" s="30" t="str">
        <f>IF(I23="Yes",IF(AND(C18&lt;&gt;"",D18=""),"ERROR: Current Max Power needs value.",IF(AND(D18&lt;&gt;"",C18=""),"ERROR: Current Actual Power needs value.",IF(AND(G18&lt;&gt;"",H18=""),"ERROR: Target Max Power needs value.",IF(AND(H18&lt;&gt;"",G18=""),"ERROR: Target Actual Power needs value.","")))),"")</f>
        <v/>
      </c>
    </row>
    <row r="19" spans="1:18" ht="15.75" thickBot="1" x14ac:dyDescent="0.3">
      <c r="A19" s="246" t="s">
        <v>55</v>
      </c>
      <c r="B19" s="247"/>
      <c r="C19" s="107">
        <f>SUM(C12:C18)</f>
        <v>7800</v>
      </c>
      <c r="D19" s="108">
        <f>SUM(D12:D18)</f>
        <v>18000</v>
      </c>
      <c r="E19" s="168">
        <f>IF(D19=0, "", 100*C19/D19)</f>
        <v>43.333333333333336</v>
      </c>
      <c r="F19" s="169">
        <f>IF(Q15="High",IF(OR(E19&lt;25,E19=0,E19=""),"",(-43.68376 + 2.392249*E19 - 0.01333084*E19^2 + 0.00005588947*E19^3 - 0.000000181562*E19^4)),IF(Q15="Mid",IF(OR(E19&lt;35,E19=0,E19=""),"",(-56.34485 + 1.694407*E19 + 0.01042965*E19^2 - 0.0001824291*E19^3 + (6.501515/10000000)*E19^4)),IF(OR(E19&lt;48,E19=0,E19=""),"",(-13.06002 - 2.321858*E19 + 0.09423105*E19^2 - 0.0008843781*E19^3 + 0.000002872627*E19^4))))</f>
        <v>38.855558517901237</v>
      </c>
      <c r="G19" s="107">
        <f>SUM(G11:G18)</f>
        <v>5490</v>
      </c>
      <c r="H19" s="108">
        <f>SUM(H11:H18)</f>
        <v>9000</v>
      </c>
      <c r="I19" s="180">
        <f t="shared" ref="I19" si="3">IF(H19=0, "", 100* G19/H19)</f>
        <v>61</v>
      </c>
      <c r="J19" s="180">
        <f>IF(Q17="High",IF(OR(I19&lt;25,I19=0,I19=""),"",(-43.68376 + 2.392249*I19 - 0.01333084*I19^2 + 0.00005588947*I19^3 - 0.000000181562*I19^4)),IF(Q17="Mid",IF(OR(I19&lt;35,I19=0,I19=""),"",(-56.34485 + 1.694407*I19 + 0.01042965*I19^2 - 0.0001824291*I19^3 + (6.501515/10000000)*I19^4)),IF(OR(I19&lt;48,I19=0,I19=""),"",(-13.06002 - 2.321858*I19 + 0.09423105*I19^2 - 0.0008843781*I19^3 + 0.000002872627*I19^4))))</f>
        <v>62.811342566427996</v>
      </c>
      <c r="K19" s="97"/>
      <c r="L19" s="102">
        <f t="shared" ref="L19" si="4">C19-G19</f>
        <v>2310</v>
      </c>
      <c r="M19" s="89"/>
      <c r="N19" s="30"/>
      <c r="O19" s="30"/>
    </row>
    <row r="20" spans="1:18" ht="15.75" thickTop="1" x14ac:dyDescent="0.25">
      <c r="A20" s="86"/>
      <c r="B20" s="86"/>
      <c r="C20" s="116"/>
      <c r="D20" s="116"/>
      <c r="E20" s="87"/>
      <c r="F20" s="85"/>
      <c r="G20" s="88"/>
      <c r="H20" s="88"/>
      <c r="I20" s="87"/>
      <c r="J20" s="85"/>
      <c r="K20" s="85"/>
      <c r="L20" s="88"/>
      <c r="M20" s="147"/>
      <c r="O20" s="30" t="str">
        <f>IF(I23="Yes",IF(R17&lt;R15,"ERROR: Target Power Performance must be higher or equal to Current",""),"")</f>
        <v/>
      </c>
    </row>
    <row r="21" spans="1:18" x14ac:dyDescent="0.25">
      <c r="A21" s="245" t="s">
        <v>160</v>
      </c>
      <c r="B21" s="245"/>
      <c r="C21" s="117">
        <f>Inventory!B32</f>
        <v>7800</v>
      </c>
      <c r="D21" s="117">
        <f>Inventory!C32</f>
        <v>18000</v>
      </c>
      <c r="E21" s="87"/>
      <c r="F21" s="94"/>
      <c r="G21" s="30"/>
      <c r="H21" s="88"/>
      <c r="I21" s="87"/>
      <c r="J21" s="85"/>
      <c r="K21" s="124" t="s">
        <v>161</v>
      </c>
      <c r="L21" s="117">
        <f>SUM(L11:L18)</f>
        <v>2310</v>
      </c>
      <c r="M21" s="147"/>
      <c r="O21" s="30" t="str">
        <f>IF(I23="Yes",IF(Q15&lt;&gt;Inventory!G21, "ERROR: Current Power Performance does not match value on Inventory",""),"")</f>
        <v/>
      </c>
    </row>
    <row r="22" spans="1:18" ht="15.75" thickBot="1" x14ac:dyDescent="0.3">
      <c r="A22" s="29"/>
      <c r="M22" s="55"/>
    </row>
    <row r="23" spans="1:18" ht="15.75" thickBot="1" x14ac:dyDescent="0.3">
      <c r="A23" s="29"/>
      <c r="D23" s="56" t="s">
        <v>57</v>
      </c>
      <c r="I23" s="76" t="s">
        <v>56</v>
      </c>
      <c r="J23" s="80"/>
      <c r="K23" s="143" t="str">
        <f>IF(I23="Yes",(IF(AND(C27="", C28="", C29="", C30="", C31="", C32="",C33="",C34="",C35="",N11="",N13="",N15="",N16="",N17="",N18="",O20="",O21=""), "     No ERRORS Found", "     ERRORS Found")),"")</f>
        <v xml:space="preserve">     ERRORS Found</v>
      </c>
      <c r="L23" s="1"/>
    </row>
    <row r="24" spans="1:18" x14ac:dyDescent="0.25">
      <c r="A24" s="29"/>
      <c r="I24" s="80"/>
      <c r="J24" s="80"/>
      <c r="K24" s="90"/>
      <c r="L24" s="1"/>
    </row>
    <row r="25" spans="1:18" x14ac:dyDescent="0.25">
      <c r="A25" s="29"/>
      <c r="C25" s="125" t="s">
        <v>129</v>
      </c>
      <c r="I25" s="80"/>
      <c r="J25" s="80"/>
      <c r="K25" s="90"/>
      <c r="L25" s="1"/>
    </row>
    <row r="26" spans="1:18" x14ac:dyDescent="0.25">
      <c r="B26" s="55" t="s">
        <v>147</v>
      </c>
      <c r="C26" s="56" t="str">
        <f>IF(L11&lt;0,"INFO: Total Power Save ≠ Waste Recovery since IT equipment added", "")</f>
        <v>INFO: Total Power Save ≠ Waste Recovery since IT equipment added</v>
      </c>
    </row>
    <row r="27" spans="1:18" x14ac:dyDescent="0.25">
      <c r="B27" t="s">
        <v>130</v>
      </c>
      <c r="C27" s="30" t="str">
        <f>IF(I23="Yes", IF(C19 = Inventory!B32, "", "ERROR (Total): Total Current Actual Power ≠ Actual Power for Class 1 in Table 3 on Inventory tab"), "")</f>
        <v/>
      </c>
    </row>
    <row r="28" spans="1:18" x14ac:dyDescent="0.25">
      <c r="B28" t="s">
        <v>131</v>
      </c>
      <c r="C28" s="30" t="str">
        <f>IF(I23="Yes", IF(D19 = Inventory!C32, "", "ERROR (Total): Total Current Max Power ≠ Max Power for Class 1 in Table 3 on Inventory tab"), "")</f>
        <v/>
      </c>
    </row>
    <row r="29" spans="1:18" x14ac:dyDescent="0.25">
      <c r="B29" t="s">
        <v>132</v>
      </c>
      <c r="C29" s="30" t="str">
        <f>IF(I23="Yes",IF(OR(D12&lt;C12, D13&lt;C13, D15&lt;C15, D16&lt;C16, D17&lt;C17,D18&lt;C18),"ERROR (Multiple): Current Max Power must be greater or equal to Current Actual Power", ""),"")</f>
        <v/>
      </c>
    </row>
    <row r="30" spans="1:18" x14ac:dyDescent="0.25">
      <c r="B30" t="s">
        <v>133</v>
      </c>
      <c r="C30" s="30" t="str">
        <f>IF(I23="Yes",IF(OR(H15&lt;G15,H16&lt;G16,H11&lt;G11,H18&lt;G18),"ERROR (Multiple): Target Max Power must be greater or equal to Target Actual Power",""),"")</f>
        <v/>
      </c>
    </row>
    <row r="31" spans="1:18" x14ac:dyDescent="0.25">
      <c r="B31" t="s">
        <v>134</v>
      </c>
      <c r="C31" s="30" t="str">
        <f>IF(I23="Yes",IF(OR(H15&gt;D15,H16&gt;D16,H18&gt;D18),"ERROR (Multiple): Current Max Power must be greater or equal to Target Max Power",""),"")</f>
        <v/>
      </c>
    </row>
    <row r="32" spans="1:18" x14ac:dyDescent="0.25">
      <c r="B32" t="s">
        <v>135</v>
      </c>
      <c r="C32" s="30" t="str">
        <f>IF(I23="Yes",IF(OR(G15&gt;C15,G16&gt;C16,G18&gt;C18),"ERROR (Multiple): Current Actual Power must be greater or equal to Target Actual Power",""),"")</f>
        <v/>
      </c>
    </row>
    <row r="33" spans="1:3" x14ac:dyDescent="0.25">
      <c r="A33" s="89"/>
      <c r="B33" t="s">
        <v>136</v>
      </c>
      <c r="C33" s="30" t="str">
        <f>IF(I23="Yes",IF(Q15="High",IF(OR(E12&lt;26,E13&lt;26,E17&lt;26,E18&lt;26,E15&lt;26,E16&lt;26),"ERROR (Multiple): Current Power Utilization must not be &lt;26.",""),IF(Q15="Mid",IF(OR(E12&lt;36,E13&lt;36,E17&lt;36,E18&lt;36,E15&lt;36,E16&lt;36),"ERROR (Multiple): Current Power Utilization must not be &lt;36.",""),IF(Q15="Low",IF(OR(E12&lt;48,E13&lt;48,E17&lt;48,E18&lt;48,E15&lt;48,E16&lt;48),"ERROR (Multiple): Current Power Utilization must not be &lt;48.","")))),"")</f>
        <v>ERROR (Multiple): Current Power Utilization must not be &lt;26.</v>
      </c>
    </row>
    <row r="34" spans="1:3" x14ac:dyDescent="0.25">
      <c r="B34" t="s">
        <v>137</v>
      </c>
      <c r="C34" s="30" t="str">
        <f>IF(I23="Yes",IF(OR(F15="",J15=""),"",IF(J15&lt;F15,"ERROR (Consolidating): Computed Target Computational Utilization must be larger or equal to Computed Current Computational Utilization.","")),"")</f>
        <v/>
      </c>
    </row>
    <row r="35" spans="1:3" x14ac:dyDescent="0.25">
      <c r="B35" t="s">
        <v>138</v>
      </c>
      <c r="C35" s="30" t="str">
        <f>IF(I23="Yes",IF(Q17="High",IF(OR(I11&lt;26,,I18&lt;26, I16&lt;26,I15&lt;26),"ERROR (Multiple): Target Power Utilization must not be &lt;26.",""),IF(Q17="Mid",IF(OR(I11&lt;36,I18&lt;36,I16&lt;36,I15&lt;36),"ERROR (Multiple): Target Power Utilization must not be &lt;36.",""),IF(Q17="Low",IF(OR(I11&lt;48,I18&lt;48, I16&lt;48,I15&lt;48),"ERROR (Multiple): Target Power Utilization must not be &lt;48.","")))),"")</f>
        <v/>
      </c>
    </row>
    <row r="36" spans="1:3" x14ac:dyDescent="0.25">
      <c r="B36" t="s">
        <v>139</v>
      </c>
      <c r="C36" s="30" t="str">
        <f>IF(I23="Yes",IF(OR(F16="",J16=""),"",IF(J16&lt;F16,"ERROR (Clouding): Computed Target Computational Utilization must be larger or equal to Computed Current Computational Utilization.","")),"")</f>
        <v/>
      </c>
    </row>
    <row r="37" spans="1:3" x14ac:dyDescent="0.25">
      <c r="B37" t="s">
        <v>140</v>
      </c>
      <c r="C37" s="30" t="str">
        <f>IF(I23="Yes",IF(OR(F18="",J18=""),"",IF(J18&lt;F18,"ERROR (Universal): Computed Target Computational Utilization must be larger or equal to Computed Current Computational Utilization.","")),"")</f>
        <v/>
      </c>
    </row>
  </sheetData>
  <sheetProtection algorithmName="SHA-512" hashValue="iVKgbzJYISzR7/upHrLF52FuhjDhDhM/WNu3NE25yb1N5EhiL6LTAGva9frXqIq2gZ5SubPSSz7XeoCipzWW0Q==" saltValue="Rdtbe/SDqg/1eqRpCB2POw==" spinCount="100000" sheet="1" objects="1" scenarios="1" selectLockedCells="1"/>
  <mergeCells count="13">
    <mergeCell ref="C8:F8"/>
    <mergeCell ref="J9:J10"/>
    <mergeCell ref="G8:K8"/>
    <mergeCell ref="A18:B18"/>
    <mergeCell ref="A17:B17"/>
    <mergeCell ref="A21:B21"/>
    <mergeCell ref="A19:B19"/>
    <mergeCell ref="A11:B11"/>
    <mergeCell ref="A12:B12"/>
    <mergeCell ref="A13:B13"/>
    <mergeCell ref="A14:B14"/>
    <mergeCell ref="A15:B15"/>
    <mergeCell ref="A16:B16"/>
  </mergeCells>
  <conditionalFormatting sqref="K23">
    <cfRule type="notContainsText" dxfId="3" priority="1" operator="notContains" text="No ERRORS Found">
      <formula>ISERROR(SEARCH("No ERRORS Found",K23))</formula>
    </cfRule>
  </conditionalFormatting>
  <dataValidations count="8">
    <dataValidation type="list" showInputMessage="1" showErrorMessage="1" errorTitle="Incorrect Value." error="ERROR: Only Yes or No allowed." sqref="I23:J25" xr:uid="{5B2DAD30-7256-431B-9378-7B9E4B6F5D29}">
      <formula1>"Yes, No"</formula1>
    </dataValidation>
    <dataValidation type="decimal" showErrorMessage="1" errorTitle="Inorrect Value" error="Only values between 0 and 100,000 [W] allowed" promptTitle="Actual Power:" prompt="Enter value between 0 and 100,000 [W]" sqref="G18 C12:C18 G11 G14:G16 H15:H16 D12" xr:uid="{A9FA5D5C-4D89-4068-A640-9FFD4854ECBF}">
      <formula1>0</formula1>
      <formula2>100000</formula2>
    </dataValidation>
    <dataValidation type="decimal" showErrorMessage="1" errorTitle="Inorrect Value" error="Only values between 0 and 100,000 [W] allowed" promptTitle="Max Power:" prompt="Enter value between 0 and 100,000 [W]" sqref="H18 H14 H11 D13:D18" xr:uid="{DF630C3E-5F24-4334-A125-52893F279E9F}">
      <formula1>0</formula1>
      <formula2>100000</formula2>
    </dataValidation>
    <dataValidation allowBlank="1" errorTitle="Incorrect Value" error="Only values between 3% and 100% allowed." promptTitle="Comp. Utilization:" prompt="Enter value between 10% and 100%." sqref="J15:J16" xr:uid="{0E87ACB8-A288-44DF-B483-8C2A24F89458}"/>
    <dataValidation errorTitle="Incorrect Value" error="Only values between 0 and 1 allowed." promptTitle="Energy Factor:" prompt="Enter value between 0 (no power reduction) and 1 (complete power reduction)" sqref="K15:K16" xr:uid="{89B980E1-CC10-4D0B-8562-37E5A37E2D98}"/>
    <dataValidation sqref="Q17 K23:K25 Q15" xr:uid="{575F194E-CBA8-4B36-853A-1A6B1E06F4FA}"/>
    <dataValidation type="textLength" allowBlank="1" showInputMessage="1" showErrorMessage="1" errorTitle="Too long name" error="Only max 12 characters allowed." promptTitle="User Defined Measure" prompt="Enter name with no more than 12 characters." sqref="A18:B18" xr:uid="{EDE2BC6E-0F13-498D-BFA5-D03D21FD96B5}">
      <formula1>0</formula1>
      <formula2>12</formula2>
    </dataValidation>
    <dataValidation type="decimal" showInputMessage="1" showErrorMessage="1" errorTitle="Incorrect Value" error="Only values between 0 and 1 allowed." promptTitle="Energy Reduction Factor:" prompt="Enter value between 0 (no power reduction) and 1 (complete power reduction)" sqref="K13" xr:uid="{1AFC43B2-9118-4D3C-BADC-51BE3807BA2B}">
      <formula1>0</formula1>
      <formula2>1</formula2>
    </dataValidation>
  </dataValidations>
  <pageMargins left="0.7" right="0.7" top="0.75" bottom="0.75" header="0.3" footer="0.3"/>
  <pageSetup scale="68"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3149B-A965-47F3-8C25-27AAEC15A8BF}">
  <sheetPr>
    <tabColor rgb="FFFF0000"/>
    <pageSetUpPr fitToPage="1"/>
  </sheetPr>
  <dimension ref="A2:U37"/>
  <sheetViews>
    <sheetView showGridLines="0" zoomScaleNormal="100" workbookViewId="0">
      <selection activeCell="I23" sqref="I23"/>
    </sheetView>
  </sheetViews>
  <sheetFormatPr defaultRowHeight="15" x14ac:dyDescent="0.25"/>
  <cols>
    <col min="1" max="1" width="9.140625" customWidth="1"/>
    <col min="2" max="2" width="5" customWidth="1"/>
    <col min="3" max="12" width="10.7109375" customWidth="1"/>
    <col min="13" max="13" width="5.42578125" customWidth="1"/>
    <col min="16" max="16" width="19.5703125" customWidth="1"/>
  </cols>
  <sheetData>
    <row r="2" spans="1:21" x14ac:dyDescent="0.25">
      <c r="A2" s="11" t="s">
        <v>28</v>
      </c>
      <c r="B2" s="12"/>
      <c r="C2" s="5"/>
    </row>
    <row r="5" spans="1:21" x14ac:dyDescent="0.25">
      <c r="E5" s="29"/>
      <c r="F5" s="29"/>
    </row>
    <row r="6" spans="1:21" x14ac:dyDescent="0.25">
      <c r="C6" s="1" t="s">
        <v>169</v>
      </c>
      <c r="J6" s="85"/>
      <c r="N6" s="1" t="s">
        <v>150</v>
      </c>
    </row>
    <row r="7" spans="1:21" ht="15.75" thickBot="1" x14ac:dyDescent="0.3">
      <c r="N7" s="1" t="s">
        <v>154</v>
      </c>
    </row>
    <row r="8" spans="1:21" ht="16.5" thickTop="1" thickBot="1" x14ac:dyDescent="0.3">
      <c r="C8" s="254" t="s">
        <v>122</v>
      </c>
      <c r="D8" s="255"/>
      <c r="E8" s="255"/>
      <c r="F8" s="256"/>
      <c r="G8" s="259" t="s">
        <v>123</v>
      </c>
      <c r="H8" s="260"/>
      <c r="I8" s="260"/>
      <c r="J8" s="260"/>
      <c r="K8" s="261"/>
      <c r="L8" s="31"/>
      <c r="N8" s="1" t="s">
        <v>148</v>
      </c>
    </row>
    <row r="9" spans="1:21" ht="30" customHeight="1" x14ac:dyDescent="0.25">
      <c r="C9" s="32" t="s">
        <v>22</v>
      </c>
      <c r="D9" s="33" t="s">
        <v>23</v>
      </c>
      <c r="E9" s="33" t="s">
        <v>24</v>
      </c>
      <c r="F9" s="33" t="s">
        <v>118</v>
      </c>
      <c r="G9" s="33" t="s">
        <v>22</v>
      </c>
      <c r="H9" s="33" t="s">
        <v>23</v>
      </c>
      <c r="I9" s="33" t="s">
        <v>24</v>
      </c>
      <c r="J9" s="257" t="s">
        <v>119</v>
      </c>
      <c r="K9" s="79" t="s">
        <v>128</v>
      </c>
      <c r="L9" s="81" t="s">
        <v>24</v>
      </c>
    </row>
    <row r="10" spans="1:21" ht="15.75" thickBot="1" x14ac:dyDescent="0.3">
      <c r="C10" s="22" t="s">
        <v>25</v>
      </c>
      <c r="D10" s="19" t="s">
        <v>25</v>
      </c>
      <c r="E10" s="19" t="s">
        <v>53</v>
      </c>
      <c r="F10" s="19" t="s">
        <v>53</v>
      </c>
      <c r="G10" s="19" t="s">
        <v>25</v>
      </c>
      <c r="H10" s="19" t="s">
        <v>25</v>
      </c>
      <c r="I10" s="19" t="s">
        <v>53</v>
      </c>
      <c r="J10" s="258"/>
      <c r="K10" s="83" t="s">
        <v>120</v>
      </c>
      <c r="L10" s="82" t="s">
        <v>54</v>
      </c>
      <c r="M10" s="77" t="s">
        <v>126</v>
      </c>
      <c r="N10" s="125" t="s">
        <v>127</v>
      </c>
      <c r="O10" s="55"/>
    </row>
    <row r="11" spans="1:21" ht="15.75" thickTop="1" x14ac:dyDescent="0.25">
      <c r="A11" s="248" t="s">
        <v>44</v>
      </c>
      <c r="B11" s="249"/>
      <c r="C11" s="127"/>
      <c r="D11" s="129"/>
      <c r="E11" s="128"/>
      <c r="F11" s="84"/>
      <c r="G11" s="109"/>
      <c r="H11" s="110"/>
      <c r="I11" s="170" t="str">
        <f>IF(G11&gt;H11,"",IF(OR(H11=0,H11="",G11=""),"",100*G11/H11))</f>
        <v/>
      </c>
      <c r="J11" s="171" t="str">
        <f>IF(Q17="High",IF(OR(I11&lt;26,I11=0,I11=""),"",(-43.68376 + 2.392249*I11 - 0.01333084*I11^2 + 0.00005588947*I11^3 - 0.000000181562*I11^4)),IF(Q17="Mid",IF(OR(I11&lt;36,I11=0,I11=""),"",(-56.34485 + 1.694407*I11 + 0.01042965*I11^2 - 0.0001824291*I11^3 + (6.501515/10000000)*I11^4)),IF(OR(I11&lt;48,I11=0,I11=""),"",(-13.06002 - 2.321858*I11 + 0.09423105*I11^2 - 0.0008843781*I11^3 + 0.000002872627*I11^4))))</f>
        <v/>
      </c>
      <c r="K11" s="98"/>
      <c r="L11" s="100" t="str">
        <f>IF(G11&gt;H11,"",IF(G11="","",-G11))</f>
        <v/>
      </c>
      <c r="M11" s="89" t="s">
        <v>141</v>
      </c>
      <c r="N11" s="30" t="str">
        <f>IF(I23="Yes",IF(AND(G11&lt;&gt;"",H11=""),"ERROR: Target Max Power needs value.",IF(AND(H11&lt;&gt;"",G11=""),"ERROR: Target Actual Power needs value.","")),"")</f>
        <v/>
      </c>
    </row>
    <row r="12" spans="1:21" x14ac:dyDescent="0.25">
      <c r="A12" s="250" t="s">
        <v>45</v>
      </c>
      <c r="B12" s="251"/>
      <c r="C12" s="112"/>
      <c r="D12" s="153"/>
      <c r="E12" s="181" t="str">
        <f>IF(C12&gt;D12,"",IF(OR(D12=0,D12="",C12=""),"",100*C12/D12))</f>
        <v/>
      </c>
      <c r="F12" s="182" t="str">
        <f>IF(Q15="High",IF(OR(E12&lt;26,E12=0,E12=""),"",(-43.68376 + 2.392249*E12 - 0.01333084*E12^2 + 0.00005588947*E12^3 - 0.000000181562*E12^4)),IF(Q15="Mid",IF(OR(E12&lt;36,E12=0,E12=""),"",(-56.34485 + 1.694407*E12 + 0.01042965*E12^2 - 0.0001824291*E12^3 + (6.501515/10000000)*E12^4)),IF(OR(E12&lt;48,E12=0,E12=""),"",(-13.06002 - 2.321858*E12 + 0.09423105*E12^2 - 0.0008843781*E12^3 + 0.000002872627*E12^4))))</f>
        <v/>
      </c>
      <c r="G12" s="130"/>
      <c r="H12" s="95"/>
      <c r="I12" s="152"/>
      <c r="J12" s="173"/>
      <c r="K12" s="99"/>
      <c r="L12" s="101" t="str">
        <f>IF(C12&gt;D12,"",IF(C12="","",C12))</f>
        <v/>
      </c>
      <c r="M12" s="89" t="s">
        <v>142</v>
      </c>
      <c r="N12" s="30" t="str">
        <f>IF(I23="Yes",IF(AND(C12&lt;&gt;"",D12=""),"ERROR: Current Max Power needs value.",IF(AND(D12&lt;&gt;"",C12=""),"ERROR: Current Actual Power needs value.","")),"")</f>
        <v/>
      </c>
      <c r="P12" s="30"/>
    </row>
    <row r="13" spans="1:21" x14ac:dyDescent="0.25">
      <c r="A13" s="250" t="s">
        <v>46</v>
      </c>
      <c r="B13" s="251"/>
      <c r="C13" s="112"/>
      <c r="D13" s="111"/>
      <c r="E13" s="181" t="str">
        <f t="shared" ref="E13:E18" si="0">IF(C13&gt;D13,"",IF(OR(D13=0,D13="",C13=""),"",100*C13/D13))</f>
        <v/>
      </c>
      <c r="F13" s="183" t="str">
        <f>IF(Q15="High",IF(OR(E13&lt;26,E13=0,E13=""),"",(-43.68376 + 2.392249*E13 - 0.01333084*E13^2 + 0.00005588947*E13^3 - 0.000000181562*E13^4)),IF(Q15="Mid",IF(OR(E13&lt;36,E13=0,E13=""),"",(-56.34485 + 1.694407*E13 + 0.01042965*E13^2 - 0.0001824291*E13^3 + (6.501515/10000000)*E13^4)),IF(OR(E13&lt;48,E13=0,E13=""),"",(-13.06002 - 2.321858*E13 + 0.09423105*E13^2 - 0.0008843781*E13^3 + 0.000002872627*E13^4))))</f>
        <v/>
      </c>
      <c r="G13" s="142" t="str">
        <f>IF(C13="","",C13*(1-K13))</f>
        <v/>
      </c>
      <c r="H13" s="117" t="str">
        <f>IF(D13="","",D13*(1-K13))</f>
        <v/>
      </c>
      <c r="I13" s="174" t="str">
        <f t="shared" ref="I13:I18" si="1">IF(G13&gt;H13,"",IF(OR(H13=0,H13="",G13=""),"",100*G13/H13))</f>
        <v/>
      </c>
      <c r="J13" s="163" t="str">
        <f>F13</f>
        <v/>
      </c>
      <c r="K13" s="266">
        <v>0</v>
      </c>
      <c r="L13" s="101" t="str">
        <f>IF(C13&gt;D13,"",IF(OR(K13="",G13="",C13=""),"",IF(C13="","",C13-G13)))</f>
        <v/>
      </c>
      <c r="M13" s="89" t="s">
        <v>143</v>
      </c>
      <c r="N13" s="30" t="str">
        <f>IF(I23="Yes",IF(AND(C13&lt;&gt;"",D13=""),"ERROR: Current Max Power needs value.",IF(AND(D13&lt;&gt;"",C13=""),"ERROR: Current Actual Power needs value.","")),"")</f>
        <v/>
      </c>
      <c r="P13" s="30"/>
    </row>
    <row r="14" spans="1:21" ht="15.75" thickBot="1" x14ac:dyDescent="0.3">
      <c r="A14" s="252" t="s">
        <v>47</v>
      </c>
      <c r="B14" s="253"/>
      <c r="C14" s="144"/>
      <c r="D14" s="145"/>
      <c r="E14" s="184"/>
      <c r="F14" s="185"/>
      <c r="G14" s="144"/>
      <c r="H14" s="145"/>
      <c r="I14" s="152"/>
      <c r="J14" s="175"/>
      <c r="K14" s="95"/>
      <c r="L14" s="126"/>
      <c r="M14" s="93" t="s">
        <v>151</v>
      </c>
      <c r="P14" s="30"/>
      <c r="Q14" s="143" t="s">
        <v>162</v>
      </c>
      <c r="U14" s="93"/>
    </row>
    <row r="15" spans="1:21" ht="15.75" thickBot="1" x14ac:dyDescent="0.3">
      <c r="A15" s="250" t="s">
        <v>48</v>
      </c>
      <c r="B15" s="251"/>
      <c r="C15" s="112">
        <v>4000</v>
      </c>
      <c r="D15" s="111">
        <v>10000</v>
      </c>
      <c r="E15" s="181">
        <f t="shared" si="0"/>
        <v>40</v>
      </c>
      <c r="F15" s="183">
        <f>IF(Q15="High",IF(OR(E15&lt;26,E15=0,E15=""),"",(-43.68376 + 2.392249*E15 - 0.01333084*E15^2 + 0.00005588947*E15^3 - 0.000000181562*E15^4)),IF(Q15="Mid",IF(OR(E15&lt;36,E15=0,E15=""),"",(-56.34485 + 1.694407*E15 + 0.01042965*E15^2 - 0.0001824291*E15^3 + (6.501515/10000000)*E15^4)),IF(OR(E15&lt;48,E15=0,E15=""),"",(-13.06002 - 2.321858*E15 + 0.09423105*E15^2 - 0.0008843781*E15^3 + 0.000002872627*E15^4))))</f>
        <v>33.788983360000003</v>
      </c>
      <c r="G15" s="112">
        <v>3500</v>
      </c>
      <c r="H15" s="153">
        <v>6000</v>
      </c>
      <c r="I15" s="174">
        <f t="shared" si="1"/>
        <v>58.333333333333336</v>
      </c>
      <c r="J15" s="178">
        <f>IF(Q17="High",IF(OR(I15&lt;26,I15=0,I15=""),"",(-43.68376 + 2.392249*I15 - 0.01333084*I15^2 + 0.00005588947*I15^3 - 0.000000181562*I15^4)),IF(Q17="Mid",IF(OR(I15&lt;36,I15=0,I15=""),"",(-56.34485 + 1.694407*I15 + 0.01042965*I15^2 - 0.0001824291*I15^3 + (6.501515/10000000)*I15^4)),IF(OR(I15&lt;48,I15=0,I15=""),"",(-13.06002 - 2.321858*I15 + 0.09423105*I15^2 - 0.0008843781*I15^3 + 0.000002872627*I15^4))))</f>
        <v>59.49372564429013</v>
      </c>
      <c r="K15" s="152"/>
      <c r="L15" s="101">
        <f>IF(C15&gt;D15,"",IF(OR(C15="",G15=""),"",IF(C15="","",C15-G15)))</f>
        <v>500</v>
      </c>
      <c r="M15" s="89" t="s">
        <v>144</v>
      </c>
      <c r="N15" s="30" t="str">
        <f>IF(I23="Yes",IF(AND(C15&lt;&gt;"",D15=""),"ERROR: Current Max Power needs value.",IF(AND(D15&lt;&gt;"",C15=""),"ERROR: Current Actual Power needs value.",IF(AND(G15&lt;&gt;"",H15=""),"ERROR: Target Max Power needs value.",IF(AND(H15&lt;&gt;"",G15=""),"ERROR: Target Actual Power needs value.","")))),"")</f>
        <v/>
      </c>
      <c r="Q15" s="146" t="str">
        <f>Inventory!G22</f>
        <v>High</v>
      </c>
      <c r="R15" s="68" t="str">
        <f>IF(Q15="Mid","2",IF(Q15="Low","1",IF(Q15="High","3","")))</f>
        <v>3</v>
      </c>
    </row>
    <row r="16" spans="1:21" x14ac:dyDescent="0.25">
      <c r="A16" s="250" t="s">
        <v>49</v>
      </c>
      <c r="B16" s="251"/>
      <c r="C16" s="112"/>
      <c r="D16" s="111"/>
      <c r="E16" s="181" t="str">
        <f t="shared" si="0"/>
        <v/>
      </c>
      <c r="F16" s="183" t="str">
        <f>IF(Q15="High",IF(OR(E16&lt;26,E16=0,E16=""),"",(-43.68376 + 2.392249*E16 - 0.01333084*E16^2 + 0.00005588947*E16^3 - 0.000000181562*E16^4)),IF(Q15="Mid",IF(OR(E16&lt;36,E16=0,E16=""),"",(-56.34485 + 1.694407*E16 + 0.01042965*E16^2 - 0.0001824291*E16^3 + (6.501515/10000000)*E16^4)),IF(OR(E16&lt;48,E16=0,E16=""),"",(-13.06002 - 2.321858*E16 + 0.09423105*E16^2 - 0.0008843781*E16^3 + 0.000002872627*E16^4))))</f>
        <v/>
      </c>
      <c r="G16" s="112"/>
      <c r="H16" s="153"/>
      <c r="I16" s="174" t="str">
        <f t="shared" si="1"/>
        <v/>
      </c>
      <c r="J16" s="178" t="str">
        <f>IF(Q17="High",IF(OR(I16&lt;26,I16=0,I16=""),"",(-43.68376 + 2.392249*I16 - 0.01333084*I16^2 + 0.00005588947*I16^3 - 0.000000181562*I16^4)),IF(Q17="Mid",IF(OR(I16&lt;36,I16=0,I16=""),"",(-56.34485 + 1.694407*I16 + 0.01042965*I16^2 - 0.0001824291*I16^3 + (6.501515/10000000)*I16^4)),IF(OR(I16&lt;48,I16=0,I16=""),"",(-13.06002 - 2.321858*I16 + 0.09423105*I16^2 - 0.0008843781*I16^3 + 0.000002872627*I16^4))))</f>
        <v/>
      </c>
      <c r="K16" s="152"/>
      <c r="L16" s="101" t="str">
        <f t="shared" ref="L16:L18" si="2">IF(C16&gt;D16,"",IF(OR(C16="",G16=""),"",IF(C16="","",C16-G16)))</f>
        <v/>
      </c>
      <c r="M16" s="89" t="s">
        <v>145</v>
      </c>
      <c r="N16" s="30" t="str">
        <f>IF(I23="Yes",IF(AND(C16&lt;&gt;"",D16=""),"ERROR: Current Max Power needs value.",IF(AND(D16&lt;&gt;"",C16=""),"ERROR: Current Actual Power needs value.",IF(AND(G16&lt;&gt;"",H16=""),"ERROR: Target Max Power needs value.",IF(AND(H16&lt;&gt;"",G16=""),"ERROR: Target Actual Power needs value.","")))),"")</f>
        <v/>
      </c>
      <c r="Q16" s="149"/>
    </row>
    <row r="17" spans="1:18" x14ac:dyDescent="0.25">
      <c r="A17" s="262" t="s">
        <v>50</v>
      </c>
      <c r="B17" s="263"/>
      <c r="C17" s="113">
        <v>3000</v>
      </c>
      <c r="D17" s="114">
        <v>3200</v>
      </c>
      <c r="E17" s="181">
        <f t="shared" si="0"/>
        <v>93.75</v>
      </c>
      <c r="F17" s="183">
        <f>IF(Q15="High",IF(OR(E17&lt;26,E17=0,E17=""),"",(-43.68376 + 2.392249*E17 - 0.01333084*E17^2 + 0.00005588947*E17^3 - 0.000000181562*E17^4)),IF(Q15="Mid",IF(OR(E17&lt;36,E17=0,E17=""),"",(-56.34485 + 1.694407*E17 + 0.01042965*E17^2 - 0.0001824291*E17^3 + (6.501515/10000000)*E17^4)),IF(OR(E17&lt;48,E17=0,E17=""),"",(-13.06002 - 2.321858*E17 + 0.09423105*E17^2 - 0.0008843781*E17^3 + 0.000002872627*E17^4))))</f>
        <v>95.450269708862308</v>
      </c>
      <c r="G17" s="103">
        <f>IF(C17&gt;D17,"",IF(C17="","",C17))</f>
        <v>3000</v>
      </c>
      <c r="H17" s="104">
        <f>IF(C17&gt;D17,"",IF(D17="","",D17))</f>
        <v>3200</v>
      </c>
      <c r="I17" s="174">
        <f t="shared" si="1"/>
        <v>93.75</v>
      </c>
      <c r="J17" s="178">
        <f>IF(Q15="High",IF(OR(E17&lt;26,E17=0,E17=""),"",(-43.68376 + 2.392249*E17 - 0.01333084*E17^2 + 0.00005588947*E17^3 - 0.000000181562*E17^4)),IF(Q15="Mid",IF(OR(E17&lt;36,E17=0,E17=""),"",(-56.34485 + 1.694407*E17 + 0.01042965*E17^2 - 0.0001824291*E17^3 + (6.501515/10000000)*E17^4)),IF(OR(E17&lt;48,E17=0,E17=""),"",(-13.06002 - 2.321858*E17 + 0.09423105*E17^2 - 0.0008843781*E17^3 + 0.000002872627*E17^4))))</f>
        <v>95.450269708862308</v>
      </c>
      <c r="K17" s="95"/>
      <c r="L17" s="101">
        <f t="shared" si="2"/>
        <v>0</v>
      </c>
      <c r="M17" s="89" t="s">
        <v>146</v>
      </c>
      <c r="N17" s="30" t="str">
        <f>IF(I23="Yes",IF(AND(C17&lt;&gt;"",D17=""),"ERROR: Current Max Power needs value.",IF(AND(D17&lt;&gt;"",C17=""),"ERROR: Current Actual Power needs value.","")),"")</f>
        <v/>
      </c>
      <c r="Q17" s="151" t="str">
        <f>Inventory!G22</f>
        <v>High</v>
      </c>
      <c r="R17" s="68" t="str">
        <f>IF(Q17="Mid","2",IF(Q17="Low","1",IF(Q17="High","3","")))</f>
        <v>3</v>
      </c>
    </row>
    <row r="18" spans="1:18" ht="15.75" thickBot="1" x14ac:dyDescent="0.3">
      <c r="A18" s="264" t="s">
        <v>155</v>
      </c>
      <c r="B18" s="265"/>
      <c r="C18" s="105"/>
      <c r="D18" s="115"/>
      <c r="E18" s="181" t="str">
        <f t="shared" si="0"/>
        <v/>
      </c>
      <c r="F18" s="186" t="str">
        <f>IF(Q15="High",IF(OR(E18&lt;26,E18=0,E18=""),"",(-43.68376 + 2.392249*E18 - 0.01333084*E18^2 + 0.00005588947*E18^3 - 0.000000181562*E18^4)),IF(Q15="Mid",IF(OR(E18&lt;36,E18=0,E18=""),"",(-56.34485 + 1.694407*E18 + 0.01042965*E18^2 - 0.0001824291*E18^3 + (6.501515/10000000)*E18^4)),IF(OR(E18&lt;48,E18=0,E18=""),"",(-13.06002 - 2.321858*E18 + 0.09423105*E18^2 - 0.0008843781*E18^3 + 0.000002872627*E18^4))))</f>
        <v/>
      </c>
      <c r="G18" s="105"/>
      <c r="H18" s="106"/>
      <c r="I18" s="179" t="str">
        <f t="shared" si="1"/>
        <v/>
      </c>
      <c r="J18" s="178" t="str">
        <f>IF(Q17="High",IF(OR(I18&lt;26,I18=0,I18=""),"",(-43.68376 + 2.392249*I18 - 0.01333084*I18^2 + 0.00005588947*I18^3 - 0.000000181562*I18^4)),IF(Q17="Mid",IF(OR(I18&lt;36,I18=0,I18=""),"",(-56.34485 + 1.694407*I18 + 0.01042965*I18^2 - 0.0001824291*I18^3 + (6.501515/10000000)*I18^4)),IF(OR(I18&lt;48,I18=0,I18=""),"",(-13.06002 - 2.321858*I18 + 0.09423105*I18^2 - 0.0008843781*I18^3 + 0.000002872627*I18^4))))</f>
        <v/>
      </c>
      <c r="K18" s="96"/>
      <c r="L18" s="101" t="str">
        <f t="shared" si="2"/>
        <v/>
      </c>
      <c r="M18" s="89" t="s">
        <v>173</v>
      </c>
      <c r="N18" s="30" t="str">
        <f>IF(I23="Yes",IF(AND(C18&lt;&gt;"",D18=""),"ERROR: Current Max Power needs value.",IF(AND(D18&lt;&gt;"",C18=""),"ERROR: Current Actual Power needs value.",IF(AND(G18&lt;&gt;"",H18=""),"ERROR: Target Max Power needs value.",IF(AND(H18&lt;&gt;"",G18=""),"ERROR: Target Actual Power needs value.","")))),"")</f>
        <v/>
      </c>
    </row>
    <row r="19" spans="1:18" ht="15.75" thickBot="1" x14ac:dyDescent="0.3">
      <c r="A19" s="246" t="s">
        <v>55</v>
      </c>
      <c r="B19" s="247"/>
      <c r="C19" s="107">
        <f>SUM(C12:C18)</f>
        <v>7000</v>
      </c>
      <c r="D19" s="108">
        <f>SUM(D12:D18)</f>
        <v>13200</v>
      </c>
      <c r="E19" s="187">
        <f>IF(D19=0, "", 100*C19/D19)</f>
        <v>53.030303030303031</v>
      </c>
      <c r="F19" s="188">
        <f>IF(Q15="High",IF(OR(E19&lt;25,E19=0,E19=""),"",(-43.68376 + 2.392249*E19 - 0.01333084*E19^2 + 0.00005588947*E19^3 - 0.000000181562*E19^4)),IF(Q15="Mid",IF(OR(E19&lt;35,E19=0,E19=""),"",(-56.34485 + 1.694407*E19 + 0.01042965*E19^2 - 0.0001824291*E19^3 + (6.501515/10000000)*E19^4)),IF(OR(E19&lt;48,E19=0,E19=""),"",(-13.06002 - 2.321858*E19 + 0.09423105*E19^2 - 0.0008843781*E19^3 + 0.000002872627*E19^4))))</f>
        <v>52.587813508664361</v>
      </c>
      <c r="G19" s="107">
        <f>SUM(G11:G18)</f>
        <v>6500</v>
      </c>
      <c r="H19" s="108">
        <f>SUM(H11:H18)</f>
        <v>9200</v>
      </c>
      <c r="I19" s="180">
        <f t="shared" ref="I19" si="3">IF(H19=0, "", 100* G19/H19)</f>
        <v>70.652173913043484</v>
      </c>
      <c r="J19" s="180">
        <f>IF(Q17="High",IF(OR(I19&lt;25,I19=0,I19=""),"",(-43.68376 + 2.392249*I19 - 0.01333084*I19^2 + 0.00005588947*I19^3 - 0.000000181562*I19^4)),IF(Q17="Mid",IF(OR(I19&lt;35,I19=0,I19=""),"",(-56.34485 + 1.694407*I19 + 0.01042965*I19^2 - 0.0001824291*I19^3 + (6.501515/10000000)*I19^4)),IF(OR(I19&lt;48,I19=0,I19=""),"",(-13.06002 - 2.321858*I19 + 0.09423105*I19^2 - 0.0008843781*I19^3 + 0.000002872627*I19^4))))</f>
        <v>73.976741714422204</v>
      </c>
      <c r="K19" s="97"/>
      <c r="L19" s="102">
        <f t="shared" ref="L19" si="4">C19-G19</f>
        <v>500</v>
      </c>
      <c r="M19" s="89"/>
      <c r="N19" s="30"/>
      <c r="O19" s="30"/>
    </row>
    <row r="20" spans="1:18" ht="15.75" thickTop="1" x14ac:dyDescent="0.25">
      <c r="A20" s="86"/>
      <c r="B20" s="86"/>
      <c r="C20" s="116"/>
      <c r="D20" s="116"/>
      <c r="E20" s="87"/>
      <c r="F20" s="85"/>
      <c r="G20" s="88"/>
      <c r="H20" s="88"/>
      <c r="I20" s="87"/>
      <c r="J20" s="85"/>
      <c r="K20" s="85"/>
      <c r="L20" s="88"/>
      <c r="M20" s="147"/>
      <c r="O20" s="30" t="str">
        <f>IF(I23="Yes",IF(R17&lt;R15,"ERROR: Target Power Performance must be higher or equal to Current",""),"")</f>
        <v/>
      </c>
    </row>
    <row r="21" spans="1:18" x14ac:dyDescent="0.25">
      <c r="A21" s="245" t="s">
        <v>160</v>
      </c>
      <c r="B21" s="245"/>
      <c r="C21" s="117">
        <f>Inventory!B33</f>
        <v>7000</v>
      </c>
      <c r="D21" s="117">
        <f>Inventory!C33</f>
        <v>13200</v>
      </c>
      <c r="E21" s="87"/>
      <c r="F21" s="94"/>
      <c r="G21" s="30"/>
      <c r="H21" s="88"/>
      <c r="I21" s="87"/>
      <c r="J21" s="85"/>
      <c r="K21" s="124" t="s">
        <v>161</v>
      </c>
      <c r="L21" s="117">
        <f>SUM(L11:L18)</f>
        <v>500</v>
      </c>
      <c r="M21" s="147"/>
      <c r="O21" s="30" t="str">
        <f>IF(I23="Yes",IF(Q15&lt;&gt;Inventory!G22, "ERROR: Current Power Performance does not match value on Inventory",""),"")</f>
        <v/>
      </c>
    </row>
    <row r="22" spans="1:18" ht="15.75" thickBot="1" x14ac:dyDescent="0.3">
      <c r="A22" s="29"/>
      <c r="M22" s="55"/>
    </row>
    <row r="23" spans="1:18" ht="15.75" thickBot="1" x14ac:dyDescent="0.3">
      <c r="A23" s="29"/>
      <c r="D23" s="56" t="s">
        <v>57</v>
      </c>
      <c r="I23" s="76" t="s">
        <v>56</v>
      </c>
      <c r="J23" s="80"/>
      <c r="K23" s="143" t="str">
        <f>IF(I23="Yes",(IF(AND(C27="", C28="", C29="", C30="", C31="", C32="",C33="",C34="",C35="",N11="",N13="",N15="",N16="",N17="",N18="",O20="",O21=""), "     No ERRORS Found", "     ERRORS Found")),"")</f>
        <v xml:space="preserve">     No ERRORS Found</v>
      </c>
      <c r="L23" s="1"/>
    </row>
    <row r="24" spans="1:18" x14ac:dyDescent="0.25">
      <c r="A24" s="29"/>
      <c r="I24" s="80"/>
      <c r="J24" s="80"/>
      <c r="K24" s="90"/>
      <c r="L24" s="1"/>
    </row>
    <row r="25" spans="1:18" x14ac:dyDescent="0.25">
      <c r="A25" s="29"/>
      <c r="C25" s="125" t="s">
        <v>129</v>
      </c>
      <c r="I25" s="80"/>
      <c r="J25" s="80"/>
      <c r="K25" s="90"/>
      <c r="L25" s="1"/>
    </row>
    <row r="26" spans="1:18" x14ac:dyDescent="0.25">
      <c r="B26" s="55" t="s">
        <v>147</v>
      </c>
      <c r="C26" s="56" t="str">
        <f>IF(L11&lt;0,"INFO: Total Power Save ≠ Waste Recovery since IT equipment added", "")</f>
        <v/>
      </c>
    </row>
    <row r="27" spans="1:18" x14ac:dyDescent="0.25">
      <c r="B27" t="s">
        <v>130</v>
      </c>
      <c r="C27" s="30" t="str">
        <f>IF(I23="Yes", IF(C19 = Inventory!B33, "", "ERROR (Total): Total Current Actual Power ≠ Actual Power for Class 2 in Table 3 on Inventory tab"), "")</f>
        <v/>
      </c>
    </row>
    <row r="28" spans="1:18" x14ac:dyDescent="0.25">
      <c r="B28" t="s">
        <v>131</v>
      </c>
      <c r="C28" s="30" t="str">
        <f>IF(I23="Yes", IF(D19 = Inventory!C33, "", "ERROR (Total): Total Current Max Power ≠ Max Power for Class 2 in Table 3 on Inventory tab"), "")</f>
        <v/>
      </c>
    </row>
    <row r="29" spans="1:18" x14ac:dyDescent="0.25">
      <c r="B29" t="s">
        <v>132</v>
      </c>
      <c r="C29" s="30" t="str">
        <f>IF(I23="Yes",IF(OR(D12&lt;C12, D13&lt;C13, D15&lt;C15, D16&lt;C16, D17&lt;C17,D18&lt;C18),"ERROR (Multiple): Current Max Power must be greater or equal to Current Actual Power", ""),"")</f>
        <v/>
      </c>
    </row>
    <row r="30" spans="1:18" x14ac:dyDescent="0.25">
      <c r="B30" t="s">
        <v>133</v>
      </c>
      <c r="C30" s="30" t="str">
        <f>IF(I23="Yes",IF(OR(H15&lt;G15,H16&lt;G16,H11&lt;G11,H18&lt;G18),"ERROR (Multiple): Target Max Power must be greater or equal to Target Actual Power",""),"")</f>
        <v/>
      </c>
    </row>
    <row r="31" spans="1:18" x14ac:dyDescent="0.25">
      <c r="B31" t="s">
        <v>134</v>
      </c>
      <c r="C31" s="30" t="str">
        <f>IF(I23="Yes",IF(OR(H15&gt;D15,H16&gt;D16,H18&gt;D18),"ERROR (Multiple): Current Max Power must be greater or equal to Target Max Power",""),"")</f>
        <v/>
      </c>
    </row>
    <row r="32" spans="1:18" x14ac:dyDescent="0.25">
      <c r="B32" t="s">
        <v>135</v>
      </c>
      <c r="C32" s="30" t="str">
        <f>IF(I23="Yes",IF(OR(G15&gt;C15,G16&gt;C16,G18&gt;C18),"ERROR (Multiple): Current Actual Power must be greater or equal to Target Actual Power",""),"")</f>
        <v/>
      </c>
    </row>
    <row r="33" spans="1:3" x14ac:dyDescent="0.25">
      <c r="A33" s="89"/>
      <c r="B33" t="s">
        <v>136</v>
      </c>
      <c r="C33" s="30" t="str">
        <f>IF(I23="Yes",IF(Q15="High",IF(OR(E12&lt;26,E13&lt;26,E17&lt;26,E18&lt;26,E15&lt;26,E16&lt;26),"ERROR (Multiple): Current Power Utilization must not be &lt;26.",""),IF(Q15="Mid",IF(OR(E12&lt;36,E13&lt;36,E17&lt;36,E18&lt;36,E15&lt;36,E16&lt;36),"ERROR (Multiple): Current Power Utilization must not be &lt;36.",""),IF(Q15="Low",IF(OR(E12&lt;48,E13&lt;48,E17&lt;48,E18&lt;48,E15&lt;48,E16&lt;48),"ERROR (Multiple): Current Power Utilization must not be &lt;48.","")))),"")</f>
        <v/>
      </c>
    </row>
    <row r="34" spans="1:3" x14ac:dyDescent="0.25">
      <c r="B34" t="s">
        <v>137</v>
      </c>
      <c r="C34" s="30" t="str">
        <f>IF(I23="Yes",IF(OR(F15="",J15=""),"",IF(J15&lt;F15,"ERROR (Consolidating): Computed Target Computational Utilization must be larger or equal to Computed Current Computational Utilization.","")),"")</f>
        <v/>
      </c>
    </row>
    <row r="35" spans="1:3" x14ac:dyDescent="0.25">
      <c r="B35" t="s">
        <v>138</v>
      </c>
      <c r="C35" s="30" t="str">
        <f>IF(I23="Yes",IF(Q17="High",IF(OR(I11&lt;26,,I18&lt;26, I16&lt;26,I15&lt;26),"ERROR (Multiple): Target Power Utilization must not be &lt;26.",""),IF(Q17="Mid",IF(OR(I11&lt;36,I18&lt;36,I16&lt;36,I15&lt;36),"ERROR (Multiple): Target Power Utilization must not be &lt;36.",""),IF(Q17="Low",IF(OR(I11&lt;48,I18&lt;48, I16&lt;48,I15&lt;48),"ERROR (Multiple): Target Power Utilization must not be &lt;48.","")))),"")</f>
        <v/>
      </c>
    </row>
    <row r="36" spans="1:3" x14ac:dyDescent="0.25">
      <c r="B36" t="s">
        <v>139</v>
      </c>
      <c r="C36" s="30" t="str">
        <f>IF(I23="Yes",IF(OR(F16="",J16=""),"",IF(J16&lt;F16,"ERROR (Clouding): Computed Target Computational Utilization must be larger or equal to Computed Current Computational Utilization.","")),"")</f>
        <v/>
      </c>
    </row>
    <row r="37" spans="1:3" x14ac:dyDescent="0.25">
      <c r="B37" t="s">
        <v>140</v>
      </c>
      <c r="C37" s="30" t="str">
        <f>IF(I23="Yes",IF(OR(F18="",J18=""),"",IF(J18&lt;F18,"ERROR (Universal): Computed Target Computational Utilization must be larger or equal to Computed Current Computational Utilization.","")),"")</f>
        <v/>
      </c>
    </row>
  </sheetData>
  <sheetProtection algorithmName="SHA-512" hashValue="RQRHEXBzFwCDKb4kAi31kA8lD953ioJrmAtvpbM2mzphKnyjTe2w6aSHz/3Km2NmqZ1TLM5sTtjLvQsUc7Qa6Q==" saltValue="Lp0jXkhOq4DjpiGtjLhnEQ==" spinCount="100000" sheet="1" objects="1" scenarios="1" selectLockedCells="1"/>
  <mergeCells count="13">
    <mergeCell ref="A21:B21"/>
    <mergeCell ref="A14:B14"/>
    <mergeCell ref="A15:B15"/>
    <mergeCell ref="A16:B16"/>
    <mergeCell ref="A17:B17"/>
    <mergeCell ref="A18:B18"/>
    <mergeCell ref="A19:B19"/>
    <mergeCell ref="A13:B13"/>
    <mergeCell ref="C8:F8"/>
    <mergeCell ref="G8:K8"/>
    <mergeCell ref="J9:J10"/>
    <mergeCell ref="A11:B11"/>
    <mergeCell ref="A12:B12"/>
  </mergeCells>
  <conditionalFormatting sqref="K23">
    <cfRule type="notContainsText" dxfId="2" priority="1" operator="notContains" text="No ERRORS Found">
      <formula>ISERROR(SEARCH("No ERRORS Found",K23))</formula>
    </cfRule>
  </conditionalFormatting>
  <dataValidations count="8">
    <dataValidation type="decimal" showInputMessage="1" showErrorMessage="1" errorTitle="Incorrect Value" error="Only values between 0 and 1 allowed." promptTitle="Energy Reduction Factor:" prompt="Enter value between 0 (no power reduction) and 1 (complete power reduction)" sqref="K13" xr:uid="{9CD06239-EA38-4A53-A6A9-3F4320810D4A}">
      <formula1>0</formula1>
      <formula2>1</formula2>
    </dataValidation>
    <dataValidation type="textLength" allowBlank="1" showInputMessage="1" showErrorMessage="1" errorTitle="Too long name" error="Only max 12 characters allowed." promptTitle="User Defined Measure" prompt="Enter name with no more than 12 characters." sqref="A18:B18" xr:uid="{885F2CA9-E846-447A-910F-1881530C9FC3}">
      <formula1>0</formula1>
      <formula2>12</formula2>
    </dataValidation>
    <dataValidation sqref="K23:K25 Q15 Q17" xr:uid="{CBDF16B1-83F8-4315-BCB8-2E5252F32038}"/>
    <dataValidation errorTitle="Incorrect Value" error="Only values between 0 and 1 allowed." promptTitle="Energy Factor:" prompt="Enter value between 0 (no power reduction) and 1 (complete power reduction)" sqref="K15:K16" xr:uid="{BE03F346-118D-47AC-ABEA-44249088504E}"/>
    <dataValidation allowBlank="1" errorTitle="Incorrect Value" error="Only values between 3% and 100% allowed." promptTitle="Comp. Utilization:" prompt="Enter value between 10% and 100%." sqref="J15:J16" xr:uid="{27816109-BE92-46C0-8E7C-8E09A4F270CF}"/>
    <dataValidation type="decimal" showErrorMessage="1" errorTitle="Inorrect Value" error="Only values between 0 and 100,000 [W] allowed" promptTitle="Max Power:" prompt="Enter value between 0 and 100,000 [W]" sqref="H18 D12:D18 H11 H14" xr:uid="{F008EE42-CEA6-4042-AA0E-06FE4ED0428C}">
      <formula1>0</formula1>
      <formula2>100000</formula2>
    </dataValidation>
    <dataValidation type="decimal" showErrorMessage="1" errorTitle="Inorrect Value" error="Only values between 0 and 100,000 [W] allowed" promptTitle="Actual Power:" prompt="Enter value between 0 and 100,000 [W]" sqref="G18 C12:C18 G11 G14:G16 H15:H16" xr:uid="{CF6E0B32-0EE1-4507-B6CC-8EA0CA662B74}">
      <formula1>0</formula1>
      <formula2>100000</formula2>
    </dataValidation>
    <dataValidation type="list" showInputMessage="1" showErrorMessage="1" errorTitle="Incorrect Value." error="ERROR: Only Yes or No allowed." sqref="I23:J25" xr:uid="{C5D6E5F6-34A6-40CD-AC02-7A8016915BBC}">
      <formula1>"Yes, No"</formula1>
    </dataValidation>
  </dataValidations>
  <pageMargins left="0.7" right="0.7" top="0.75" bottom="0.75" header="0.3" footer="0.3"/>
  <pageSetup scale="68"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D47B3-10C3-49E2-8DC4-58FCAD8BABEC}">
  <sheetPr>
    <tabColor rgb="FFFF0000"/>
    <pageSetUpPr fitToPage="1"/>
  </sheetPr>
  <dimension ref="A2:U37"/>
  <sheetViews>
    <sheetView showGridLines="0" zoomScaleNormal="100" workbookViewId="0">
      <selection activeCell="D12" sqref="D12"/>
    </sheetView>
  </sheetViews>
  <sheetFormatPr defaultRowHeight="15" x14ac:dyDescent="0.25"/>
  <cols>
    <col min="1" max="1" width="9.140625" customWidth="1"/>
    <col min="2" max="2" width="5" customWidth="1"/>
    <col min="3" max="12" width="10.7109375" customWidth="1"/>
    <col min="13" max="13" width="5.42578125" customWidth="1"/>
    <col min="16" max="16" width="19.5703125" customWidth="1"/>
  </cols>
  <sheetData>
    <row r="2" spans="1:21" x14ac:dyDescent="0.25">
      <c r="A2" s="11" t="s">
        <v>26</v>
      </c>
      <c r="B2" s="12"/>
      <c r="C2" s="5"/>
    </row>
    <row r="5" spans="1:21" x14ac:dyDescent="0.25">
      <c r="E5" s="29"/>
      <c r="F5" s="29"/>
    </row>
    <row r="6" spans="1:21" x14ac:dyDescent="0.25">
      <c r="C6" s="1" t="s">
        <v>170</v>
      </c>
      <c r="J6" s="85"/>
      <c r="N6" s="1" t="s">
        <v>150</v>
      </c>
    </row>
    <row r="7" spans="1:21" ht="15.75" thickBot="1" x14ac:dyDescent="0.3">
      <c r="N7" s="1" t="s">
        <v>153</v>
      </c>
    </row>
    <row r="8" spans="1:21" ht="16.5" thickTop="1" thickBot="1" x14ac:dyDescent="0.3">
      <c r="C8" s="254" t="s">
        <v>122</v>
      </c>
      <c r="D8" s="255"/>
      <c r="E8" s="255"/>
      <c r="F8" s="256"/>
      <c r="G8" s="259" t="s">
        <v>123</v>
      </c>
      <c r="H8" s="260"/>
      <c r="I8" s="260"/>
      <c r="J8" s="260"/>
      <c r="K8" s="261"/>
      <c r="L8" s="31"/>
      <c r="N8" s="1" t="s">
        <v>148</v>
      </c>
    </row>
    <row r="9" spans="1:21" ht="30" customHeight="1" x14ac:dyDescent="0.25">
      <c r="C9" s="32" t="s">
        <v>22</v>
      </c>
      <c r="D9" s="33" t="s">
        <v>23</v>
      </c>
      <c r="E9" s="33" t="s">
        <v>24</v>
      </c>
      <c r="F9" s="33" t="s">
        <v>118</v>
      </c>
      <c r="G9" s="33" t="s">
        <v>22</v>
      </c>
      <c r="H9" s="33" t="s">
        <v>23</v>
      </c>
      <c r="I9" s="33" t="s">
        <v>24</v>
      </c>
      <c r="J9" s="257" t="s">
        <v>119</v>
      </c>
      <c r="K9" s="79" t="s">
        <v>128</v>
      </c>
      <c r="L9" s="81" t="s">
        <v>24</v>
      </c>
    </row>
    <row r="10" spans="1:21" ht="15.75" thickBot="1" x14ac:dyDescent="0.3">
      <c r="C10" s="22" t="s">
        <v>25</v>
      </c>
      <c r="D10" s="19" t="s">
        <v>25</v>
      </c>
      <c r="E10" s="19" t="s">
        <v>53</v>
      </c>
      <c r="F10" s="19" t="s">
        <v>53</v>
      </c>
      <c r="G10" s="19" t="s">
        <v>25</v>
      </c>
      <c r="H10" s="19" t="s">
        <v>25</v>
      </c>
      <c r="I10" s="19" t="s">
        <v>53</v>
      </c>
      <c r="J10" s="258"/>
      <c r="K10" s="83" t="s">
        <v>120</v>
      </c>
      <c r="L10" s="82" t="s">
        <v>54</v>
      </c>
      <c r="M10" s="77" t="s">
        <v>126</v>
      </c>
      <c r="N10" s="125" t="s">
        <v>127</v>
      </c>
      <c r="O10" s="55"/>
    </row>
    <row r="11" spans="1:21" ht="15.75" thickTop="1" x14ac:dyDescent="0.25">
      <c r="A11" s="248" t="s">
        <v>44</v>
      </c>
      <c r="B11" s="249"/>
      <c r="C11" s="127"/>
      <c r="D11" s="129"/>
      <c r="E11" s="128"/>
      <c r="F11" s="84"/>
      <c r="G11" s="109"/>
      <c r="H11" s="110"/>
      <c r="I11" s="190" t="str">
        <f>IF(G11&gt;H11,"",IF(OR(H11=0,H11="",G11=""),"",100*G11/H11))</f>
        <v/>
      </c>
      <c r="J11" s="191" t="str">
        <f>IF(Q17="High",IF(OR(I11&lt;26,I11=0,I11=""),"",(-43.68376 + 2.392249*I11 - 0.01333084*I11^2 + 0.00005588947*I11^3 - 0.000000181562*I11^4)),IF(Q17="Mid",IF(OR(I11&lt;36,I11=0,I11=""),"",(-56.34485 + 1.694407*I11 + 0.01042965*I11^2 - 0.0001824291*I11^3 + (6.501515/10000000)*I11^4)),IF(OR(I11&lt;48,I11=0,I11=""),"",(-13.06002 - 2.321858*I11 + 0.09423105*I11^2 - 0.0008843781*I11^3 + 0.000002872627*I11^4))))</f>
        <v/>
      </c>
      <c r="K11" s="98"/>
      <c r="L11" s="100" t="str">
        <f>IF(G11&gt;H11,"",IF(G11="","",-G11))</f>
        <v/>
      </c>
      <c r="M11" s="89" t="s">
        <v>141</v>
      </c>
      <c r="N11" s="30" t="str">
        <f>IF(I23="Yes",IF(AND(G11&lt;&gt;"",H11=""),"ERROR: Target Max Power needs value.",IF(AND(H11&lt;&gt;"",G11=""),"ERROR: Target Actual Power needs value.","")),"")</f>
        <v/>
      </c>
    </row>
    <row r="12" spans="1:21" x14ac:dyDescent="0.25">
      <c r="A12" s="250" t="s">
        <v>45</v>
      </c>
      <c r="B12" s="251"/>
      <c r="C12" s="112"/>
      <c r="D12" s="153"/>
      <c r="E12" s="181" t="str">
        <f>IF(C12&gt;D12,"",IF(OR(D12=0,D12="",C12=""),"",100*C12/D12))</f>
        <v/>
      </c>
      <c r="F12" s="183" t="str">
        <f>IF(Q15="High",IF(OR(E12&lt;26,E12=0,E12=""),"",(-43.68376 + 2.392249*E12 - 0.01333084*E12^2 + 0.00005588947*E12^3 - 0.000000181562*E12^4)),IF(Q15="Mid",IF(OR(E12&lt;36,E12=0,E12=""),"",(-56.34485 + 1.694407*E12 + 0.01042965*E12^2 - 0.0001824291*E12^3 + (6.501515/10000000)*E12^4)),IF(OR(E12&lt;48,E12=0,E12=""),"",(-13.06002 - 2.321858*E12 + 0.09423105*E12^2 - 0.0008843781*E12^3 + 0.000002872627*E12^4))))</f>
        <v/>
      </c>
      <c r="G12" s="130"/>
      <c r="H12" s="95"/>
      <c r="I12" s="192"/>
      <c r="J12" s="193"/>
      <c r="K12" s="99"/>
      <c r="L12" s="101" t="str">
        <f>IF(C12&gt;D12,"",IF(C12="","",C12))</f>
        <v/>
      </c>
      <c r="M12" s="89" t="s">
        <v>142</v>
      </c>
      <c r="N12" s="30" t="str">
        <f>IF(I23="Yes",IF(AND(C12&lt;&gt;"",D12=""),"ERROR: Current Max Power needs value.",IF(AND(D12&lt;&gt;"",C12=""),"ERROR: Current Actual Power needs value.","")),"")</f>
        <v/>
      </c>
      <c r="P12" s="30"/>
    </row>
    <row r="13" spans="1:21" x14ac:dyDescent="0.25">
      <c r="A13" s="250" t="s">
        <v>46</v>
      </c>
      <c r="B13" s="251"/>
      <c r="C13" s="112">
        <v>10000</v>
      </c>
      <c r="D13" s="111">
        <v>12000</v>
      </c>
      <c r="E13" s="181">
        <f>IF(C13&gt;D13,"",IF(OR(D13=0,D13="",C13=""),"",100*C13/D13))</f>
        <v>83.333333333333329</v>
      </c>
      <c r="F13" s="183">
        <f>IF(Q15="High",IF(OR(E13&lt;26,E13=0,E13=""),"",(-43.68376 + 2.392249*E13 - 0.01333084*E13^2 + 0.00005588947*E13^3 - 0.000000181562*E13^4)),IF(Q15="Mid",IF(OR(E13&lt;36,E13=0,E13=""),"",(-56.34485 + 1.694407*E13 + 0.01042965*E13^2 - 0.0001824291*E13^3 + (6.501515/10000000)*E13^4)),IF(OR(E13&lt;48,E13=0,E13=""),"",(-13.06002 - 2.321858*E13 + 0.09423105*E13^2 - 0.0008843781*E13^3 + 0.000002872627*E13^4))))</f>
        <v>83.065219251543212</v>
      </c>
      <c r="G13" s="142">
        <f>IF(C13="","",C13*(1-K13))</f>
        <v>5000</v>
      </c>
      <c r="H13" s="117">
        <f>IF(D13="","",D13*(1-K13))</f>
        <v>6000</v>
      </c>
      <c r="I13" s="194">
        <f t="shared" ref="I13:I18" si="0">IF(G13&gt;H13,"",IF(OR(H13=0,H13="",G13=""),"",100*G13/H13))</f>
        <v>83.333333333333329</v>
      </c>
      <c r="J13" s="181">
        <f>F13</f>
        <v>83.065219251543212</v>
      </c>
      <c r="K13" s="266">
        <v>0.5</v>
      </c>
      <c r="L13" s="101">
        <f>IF(C13&gt;D13,"",IF(OR(K13="",G13="",C13=""),"",IF(C13="","",C13-G13)))</f>
        <v>5000</v>
      </c>
      <c r="M13" s="89" t="s">
        <v>143</v>
      </c>
      <c r="N13" s="30" t="str">
        <f>IF(I23="Yes",IF(AND(C13&lt;&gt;"",D13=""),"ERROR: Current Max Power needs value.",IF(AND(D13&lt;&gt;"",C13=""),"ERROR: Current Actual Power needs value.","")),"")</f>
        <v/>
      </c>
      <c r="P13" s="30"/>
    </row>
    <row r="14" spans="1:21" ht="15.75" thickBot="1" x14ac:dyDescent="0.3">
      <c r="A14" s="252" t="s">
        <v>47</v>
      </c>
      <c r="B14" s="253"/>
      <c r="C14" s="144"/>
      <c r="D14" s="145"/>
      <c r="E14" s="189"/>
      <c r="F14" s="185"/>
      <c r="G14" s="144"/>
      <c r="H14" s="145"/>
      <c r="I14" s="192"/>
      <c r="J14" s="195"/>
      <c r="K14" s="95"/>
      <c r="L14" s="126"/>
      <c r="M14" s="93" t="s">
        <v>151</v>
      </c>
      <c r="P14" s="30"/>
      <c r="Q14" s="143" t="s">
        <v>162</v>
      </c>
      <c r="U14" s="93"/>
    </row>
    <row r="15" spans="1:21" ht="15.75" thickBot="1" x14ac:dyDescent="0.3">
      <c r="A15" s="250" t="s">
        <v>48</v>
      </c>
      <c r="B15" s="251"/>
      <c r="C15" s="112"/>
      <c r="D15" s="111"/>
      <c r="E15" s="181" t="str">
        <f>IF(C15&gt;D15,"",IF(OR(D15=0,D15="",C15=""),"",100*C15/D15))</f>
        <v/>
      </c>
      <c r="F15" s="183" t="str">
        <f>IF(Q15="High",IF(OR(E15&lt;26,E15=0,E15=""),"",(-43.68376 + 2.392249*E15 - 0.01333084*E15^2 + 0.00005588947*E15^3 - 0.000000181562*E15^4)),IF(Q15="Mid",IF(OR(E15&lt;36,E15=0,E15=""),"",(-56.34485 + 1.694407*E15 + 0.01042965*E15^2 - 0.0001824291*E15^3 + (6.501515/10000000)*E15^4)),IF(OR(E15&lt;48,E15=0,E15=""),"",(-13.06002 - 2.321858*E15 + 0.09423105*E15^2 - 0.0008843781*E15^3 + 0.000002872627*E15^4))))</f>
        <v/>
      </c>
      <c r="G15" s="112"/>
      <c r="H15" s="153"/>
      <c r="I15" s="194" t="str">
        <f t="shared" si="0"/>
        <v/>
      </c>
      <c r="J15" s="196" t="str">
        <f>IF(Q17="High",IF(OR(I15&lt;26,I15=0,I15=""),"",(-43.68376 + 2.392249*I15 - 0.01333084*I15^2 + 0.00005588947*I15^3 - 0.000000181562*I15^4)),IF(Q17="Mid",IF(OR(I15&lt;36,I15=0,I15=""),"",(-56.34485 + 1.694407*I15 + 0.01042965*I15^2 - 0.0001824291*I15^3 + (6.501515/10000000)*I15^4)),IF(OR(I15&lt;48,I15=0,I15=""),"",(-13.06002 - 2.321858*I15 + 0.09423105*I15^2 - 0.0008843781*I15^3 + 0.000002872627*I15^4))))</f>
        <v/>
      </c>
      <c r="K15" s="152"/>
      <c r="L15" s="101" t="str">
        <f>IF(C15&gt;D15,"",IF(OR(C15="",G15=""),"",IF(C15="","",C15-G15)))</f>
        <v/>
      </c>
      <c r="M15" s="89" t="s">
        <v>144</v>
      </c>
      <c r="N15" s="30" t="str">
        <f>IF(I23="Yes",IF(AND(C15&lt;&gt;"",D15=""),"ERROR: Current Max Power needs value.",IF(AND(D15&lt;&gt;"",C15=""),"ERROR: Current Actual Power needs value.",IF(AND(G15&lt;&gt;"",H15=""),"ERROR: Target Max Power needs value.",IF(AND(H15&lt;&gt;"",G15=""),"ERROR: Target Actual Power needs value.","")))),"")</f>
        <v/>
      </c>
      <c r="Q15" s="146" t="str">
        <f>Inventory!G23</f>
        <v>Mid</v>
      </c>
      <c r="R15" s="68" t="str">
        <f>IF(Q15="Mid","2",IF(Q15="Low","1",IF(Q15="High","3","")))</f>
        <v>2</v>
      </c>
    </row>
    <row r="16" spans="1:21" x14ac:dyDescent="0.25">
      <c r="A16" s="250" t="s">
        <v>49</v>
      </c>
      <c r="B16" s="251"/>
      <c r="C16" s="112"/>
      <c r="D16" s="111"/>
      <c r="E16" s="181" t="str">
        <f t="shared" ref="E16:E18" si="1">IF(C16&gt;D16,"",IF(OR(D16=0,D16="",C16=""),"",100*C16/D16))</f>
        <v/>
      </c>
      <c r="F16" s="183" t="str">
        <f>IF(Q15="High",IF(OR(E16&lt;26,E16=0,E16=""),"",(-43.68376 + 2.392249*E16 - 0.01333084*E16^2 + 0.00005588947*E16^3 - 0.000000181562*E16^4)),IF(Q15="Mid",IF(OR(E16&lt;36,E16=0,E16=""),"",(-56.34485 + 1.694407*E16 + 0.01042965*E16^2 - 0.0001824291*E16^3 + (6.501515/10000000)*E16^4)),IF(OR(E16&lt;48,E16=0,E16=""),"",(-13.06002 - 2.321858*E16 + 0.09423105*E16^2 - 0.0008843781*E16^3 + 0.000002872627*E16^4))))</f>
        <v/>
      </c>
      <c r="G16" s="112"/>
      <c r="H16" s="153"/>
      <c r="I16" s="194" t="str">
        <f t="shared" si="0"/>
        <v/>
      </c>
      <c r="J16" s="196" t="str">
        <f>IF(Q17="High",IF(OR(I16&lt;26,I16=0,I16=""),"",(-43.68376 + 2.392249*I16 - 0.01333084*I16^2 + 0.00005588947*I16^3 - 0.000000181562*I16^4)),IF(Q17="Mid",IF(OR(I16&lt;36,I16=0,I16=""),"",(-56.34485 + 1.694407*I16 + 0.01042965*I16^2 - 0.0001824291*I16^3 + (6.501515/10000000)*I16^4)),IF(OR(I16&lt;48,I16=0,I16=""),"",(-13.06002 - 2.321858*I16 + 0.09423105*I16^2 - 0.0008843781*I16^3 + 0.000002872627*I16^4))))</f>
        <v/>
      </c>
      <c r="K16" s="152"/>
      <c r="L16" s="101" t="str">
        <f t="shared" ref="L16:L18" si="2">IF(C16&gt;D16,"",IF(OR(C16="",G16=""),"",IF(C16="","",C16-G16)))</f>
        <v/>
      </c>
      <c r="M16" s="89" t="s">
        <v>145</v>
      </c>
      <c r="N16" s="30" t="str">
        <f>IF(I23="Yes",IF(AND(C16&lt;&gt;"",D16=""),"ERROR: Current Max Power needs value.",IF(AND(D16&lt;&gt;"",C16=""),"ERROR: Current Actual Power needs value.",IF(AND(G16&lt;&gt;"",H16=""),"ERROR: Target Max Power needs value.",IF(AND(H16&lt;&gt;"",G16=""),"ERROR: Target Actual Power needs value.","")))),"")</f>
        <v/>
      </c>
      <c r="Q16" s="149"/>
    </row>
    <row r="17" spans="1:18" x14ac:dyDescent="0.25">
      <c r="A17" s="262" t="s">
        <v>50</v>
      </c>
      <c r="B17" s="263"/>
      <c r="C17" s="113">
        <v>1200</v>
      </c>
      <c r="D17" s="114">
        <v>1800</v>
      </c>
      <c r="E17" s="181">
        <f t="shared" si="1"/>
        <v>66.666666666666671</v>
      </c>
      <c r="F17" s="183">
        <f>IF(Q15="High",IF(OR(E17&lt;26,E17=0,E17=""),"",(-43.68376 + 2.392249*E17 - 0.01333084*E17^2 + 0.00005588947*E17^3 - 0.000000181562*E17^4)),IF(Q15="Mid",IF(OR(E17&lt;36,E17=0,E17=""),"",(-56.34485 + 1.694407*E17 + 0.01042965*E17^2 - 0.0001824291*E17^3 + (6.501515/10000000)*E17^4)),IF(OR(E17&lt;48,E17=0,E17=""),"",(-13.06002 - 2.321858*E17 + 0.09423105*E17^2 - 0.0008843781*E17^3 + 0.000002872627*E17^4))))</f>
        <v>61.759048765432127</v>
      </c>
      <c r="G17" s="103">
        <f>IF(C17&gt;D17,"",IF(C17="","",C17))</f>
        <v>1200</v>
      </c>
      <c r="H17" s="104">
        <f>IF(C17&gt;D17,"",IF(D17="","",D17))</f>
        <v>1800</v>
      </c>
      <c r="I17" s="194">
        <f t="shared" si="0"/>
        <v>66.666666666666671</v>
      </c>
      <c r="J17" s="196">
        <f>IF(Q15="High",IF(OR(E17&lt;26,E17=0,E17=""),"",(-43.68376 + 2.392249*E17 - 0.01333084*E17^2 + 0.00005588947*E17^3 - 0.000000181562*E17^4)),IF(Q15="Mid",IF(OR(E17&lt;36,E17=0,E17=""),"",(-56.34485 + 1.694407*E17 + 0.01042965*E17^2 - 0.0001824291*E17^3 + (6.501515/10000000)*E17^4)),IF(OR(E17&lt;48,E17=0,E17=""),"",(-13.06002 - 2.321858*E17 + 0.09423105*E17^2 - 0.0008843781*E17^3 + 0.000002872627*E17^4))))</f>
        <v>61.759048765432127</v>
      </c>
      <c r="K17" s="95"/>
      <c r="L17" s="101">
        <f t="shared" si="2"/>
        <v>0</v>
      </c>
      <c r="M17" s="89" t="s">
        <v>146</v>
      </c>
      <c r="N17" s="30" t="str">
        <f>IF(I23="Yes",IF(AND(C17&lt;&gt;"",D17=""),"ERROR: Current Max Power needs value.",IF(AND(D17&lt;&gt;"",C17=""),"ERROR: Current Actual Power needs value.","")),"")</f>
        <v/>
      </c>
      <c r="Q17" s="151" t="str">
        <f>Inventory!G23</f>
        <v>Mid</v>
      </c>
      <c r="R17" s="68" t="str">
        <f>IF(Q17="Mid","2",IF(Q17="Low","1",IF(Q17="High","3","")))</f>
        <v>2</v>
      </c>
    </row>
    <row r="18" spans="1:18" ht="15.75" thickBot="1" x14ac:dyDescent="0.3">
      <c r="A18" s="264" t="s">
        <v>155</v>
      </c>
      <c r="B18" s="265"/>
      <c r="C18" s="105"/>
      <c r="D18" s="115"/>
      <c r="E18" s="181" t="str">
        <f t="shared" si="1"/>
        <v/>
      </c>
      <c r="F18" s="186" t="str">
        <f>IF(Q15="High",IF(OR(E18&lt;26,E18=0,E18=""),"",(-43.68376 + 2.392249*E18 - 0.01333084*E18^2 + 0.00005588947*E18^3 - 0.000000181562*E18^4)),IF(Q15="Mid",IF(OR(E18&lt;36,E18=0,E18=""),"",(-56.34485 + 1.694407*E18 + 0.01042965*E18^2 - 0.0001824291*E18^3 + (6.501515/10000000)*E18^4)),IF(OR(E18&lt;48,E18=0,E18=""),"",(-13.06002 - 2.321858*E18 + 0.09423105*E18^2 - 0.0008843781*E18^3 + 0.000002872627*E18^4))))</f>
        <v/>
      </c>
      <c r="G18" s="105"/>
      <c r="H18" s="106"/>
      <c r="I18" s="197" t="str">
        <f t="shared" si="0"/>
        <v/>
      </c>
      <c r="J18" s="196" t="str">
        <f>IF(Q17="High",IF(OR(I18&lt;26,I18=0,I18=""),"",(-43.68376 + 2.392249*I18 - 0.01333084*I18^2 + 0.00005588947*I18^3 - 0.000000181562*I18^4)),IF(Q17="Mid",IF(OR(I18&lt;36,I18=0,I18=""),"",(-56.34485 + 1.694407*I18 + 0.01042965*I18^2 - 0.0001824291*I18^3 + (6.501515/10000000)*I18^4)),IF(OR(I18&lt;48,I18=0,I18=""),"",(-13.06002 - 2.321858*I18 + 0.09423105*I18^2 - 0.0008843781*I18^3 + 0.000002872627*I18^4))))</f>
        <v/>
      </c>
      <c r="K18" s="96"/>
      <c r="L18" s="101" t="str">
        <f t="shared" si="2"/>
        <v/>
      </c>
      <c r="M18" s="89" t="s">
        <v>173</v>
      </c>
      <c r="N18" s="30" t="str">
        <f>IF(I23="Yes",IF(AND(C18&lt;&gt;"",D18=""),"ERROR: Current Max Power needs value.",IF(AND(D18&lt;&gt;"",C18=""),"ERROR: Current Actual Power needs value.",IF(AND(G18&lt;&gt;"",H18=""),"ERROR: Target Max Power needs value.",IF(AND(H18&lt;&gt;"",G18=""),"ERROR: Target Actual Power needs value.","")))),"")</f>
        <v/>
      </c>
    </row>
    <row r="19" spans="1:18" ht="15.75" thickBot="1" x14ac:dyDescent="0.3">
      <c r="A19" s="246" t="s">
        <v>55</v>
      </c>
      <c r="B19" s="247"/>
      <c r="C19" s="107">
        <f>SUM(C12:C18)</f>
        <v>11200</v>
      </c>
      <c r="D19" s="108">
        <f>SUM(D12:D18)</f>
        <v>13800</v>
      </c>
      <c r="E19" s="187">
        <f>IF(D19=0, "", 100*C19/D19)</f>
        <v>81.159420289855078</v>
      </c>
      <c r="F19" s="188">
        <f>IF(Q15="High",IF(OR(E19&lt;25,E19=0,E19=""),"",(-43.68376 + 2.392249*E19 - 0.01333084*E19^2 + 0.00005588947*E19^3 - 0.000000181562*E19^4)),IF(Q15="Mid",IF(OR(E19&lt;35,E19=0,E19=""),"",(-56.34485 + 1.694407*E19 + 0.01042965*E19^2 - 0.0001824291*E19^3 + (6.501515/10000000)*E19^4)),IF(OR(E19&lt;48,E19=0,E19=""),"",(-13.06002 - 2.321858*E19 + 0.09423105*E19^2 - 0.0008843781*E19^3 + 0.000002872627*E19^4))))</f>
        <v>80.554797512571184</v>
      </c>
      <c r="G19" s="107">
        <f>SUM(G11:G18)</f>
        <v>6200</v>
      </c>
      <c r="H19" s="108">
        <f>SUM(H11:H18)</f>
        <v>7800</v>
      </c>
      <c r="I19" s="198">
        <f t="shared" ref="I19" si="3">IF(H19=0, "", 100* G19/H19)</f>
        <v>79.487179487179489</v>
      </c>
      <c r="J19" s="198">
        <f>IF(Q17="High",IF(OR(I19&lt;25,I19=0,I19=""),"",(-43.68376 + 2.392249*I19 - 0.01333084*I19^2 + 0.00005588947*I19^3 - 0.000000181562*I19^4)),IF(Q17="Mid",IF(OR(I19&lt;35,I19=0,I19=""),"",(-56.34485 + 1.694407*I19 + 0.01042965*I19^2 - 0.0001824291*I19^3 + (6.501515/10000000)*I19^4)),IF(OR(I19&lt;48,I19=0,I19=""),"",(-13.06002 - 2.321858*I19 + 0.09423105*I19^2 - 0.0008843781*I19^3 + 0.000002872627*I19^4))))</f>
        <v>78.570473423441555</v>
      </c>
      <c r="K19" s="97"/>
      <c r="L19" s="102">
        <f t="shared" ref="L19" si="4">C19-G19</f>
        <v>5000</v>
      </c>
      <c r="M19" s="89"/>
      <c r="N19" s="30"/>
      <c r="O19" s="30"/>
    </row>
    <row r="20" spans="1:18" ht="15.75" thickTop="1" x14ac:dyDescent="0.25">
      <c r="A20" s="86"/>
      <c r="B20" s="86"/>
      <c r="C20" s="116"/>
      <c r="D20" s="116"/>
      <c r="E20" s="87"/>
      <c r="F20" s="85"/>
      <c r="G20" s="88"/>
      <c r="H20" s="88"/>
      <c r="I20" s="87"/>
      <c r="J20" s="85"/>
      <c r="K20" s="85"/>
      <c r="L20" s="88"/>
      <c r="M20" s="147"/>
      <c r="O20" s="30" t="str">
        <f>IF(I23="Yes",IF(R17&lt;R15,"ERROR: Target Power Performance must be higher or equal to Current",""),"")</f>
        <v/>
      </c>
    </row>
    <row r="21" spans="1:18" x14ac:dyDescent="0.25">
      <c r="A21" s="245" t="s">
        <v>160</v>
      </c>
      <c r="B21" s="245"/>
      <c r="C21" s="117">
        <f>Inventory!B34</f>
        <v>11200</v>
      </c>
      <c r="D21" s="117">
        <f>Inventory!C34</f>
        <v>13800</v>
      </c>
      <c r="E21" s="87"/>
      <c r="F21" s="94"/>
      <c r="G21" s="30"/>
      <c r="H21" s="88"/>
      <c r="I21" s="87"/>
      <c r="J21" s="85"/>
      <c r="K21" s="124" t="s">
        <v>161</v>
      </c>
      <c r="L21" s="117">
        <f>SUM(L11:L18)</f>
        <v>5000</v>
      </c>
      <c r="M21" s="147"/>
      <c r="O21" s="30" t="str">
        <f>IF(I23="Yes",IF(Q15&lt;&gt;Inventory!G23, "ERROR: Current Power Performance does not match value on Inventory",""),"")</f>
        <v/>
      </c>
    </row>
    <row r="22" spans="1:18" ht="15.75" thickBot="1" x14ac:dyDescent="0.3">
      <c r="A22" s="29"/>
      <c r="M22" s="55"/>
    </row>
    <row r="23" spans="1:18" ht="15.75" thickBot="1" x14ac:dyDescent="0.3">
      <c r="A23" s="29"/>
      <c r="D23" s="56" t="s">
        <v>57</v>
      </c>
      <c r="I23" s="76" t="s">
        <v>56</v>
      </c>
      <c r="J23" s="80"/>
      <c r="K23" s="143" t="str">
        <f>IF(I23="Yes",(IF(AND(C27="", C28="", C29="", C30="", C31="", C32="",C33="",C34="",C35="",N11="",N13="",N15="",N16="",N17="",N18="",O20="",O21=""), "     No ERRORS Found", "     ERRORS Found")),"")</f>
        <v xml:space="preserve">     No ERRORS Found</v>
      </c>
      <c r="L23" s="1"/>
    </row>
    <row r="24" spans="1:18" x14ac:dyDescent="0.25">
      <c r="A24" s="29"/>
      <c r="I24" s="80"/>
      <c r="J24" s="80"/>
      <c r="K24" s="90"/>
      <c r="L24" s="1"/>
    </row>
    <row r="25" spans="1:18" x14ac:dyDescent="0.25">
      <c r="A25" s="29"/>
      <c r="C25" s="125" t="s">
        <v>129</v>
      </c>
      <c r="I25" s="80"/>
      <c r="J25" s="80"/>
      <c r="K25" s="90"/>
      <c r="L25" s="1"/>
    </row>
    <row r="26" spans="1:18" x14ac:dyDescent="0.25">
      <c r="B26" s="55" t="s">
        <v>147</v>
      </c>
      <c r="C26" s="56" t="str">
        <f>IF(L11&lt;0,"INFO: Total Power Save ≠ Waste Recovery since IT equipment added", "")</f>
        <v/>
      </c>
    </row>
    <row r="27" spans="1:18" x14ac:dyDescent="0.25">
      <c r="B27" t="s">
        <v>130</v>
      </c>
      <c r="C27" s="30" t="str">
        <f>IF(I23="Yes", IF(C19 = Inventory!B34, "", "ERROR (Total): Total Current Actual Power ≠ Actual Power for Class 3 in Table 3 on Inventory tab"), "")</f>
        <v/>
      </c>
    </row>
    <row r="28" spans="1:18" x14ac:dyDescent="0.25">
      <c r="B28" t="s">
        <v>131</v>
      </c>
      <c r="C28" s="30" t="str">
        <f>IF(I23="Yes", IF(D19 = Inventory!C34, "", "ERROR (Total): Total Current Max Power ≠ Max Power for Class 3 in Table 3 on Inventory tab"), "")</f>
        <v/>
      </c>
    </row>
    <row r="29" spans="1:18" x14ac:dyDescent="0.25">
      <c r="B29" t="s">
        <v>132</v>
      </c>
      <c r="C29" s="30" t="str">
        <f>IF(I23="Yes",IF(OR(D12&lt;C12, D13&lt;C13, D15&lt;C15, D16&lt;C16, D17&lt;C17,D18&lt;C18),"ERROR (Multiple): Current Max Power must be greater or equal to Current Actual Power", ""),"")</f>
        <v/>
      </c>
    </row>
    <row r="30" spans="1:18" x14ac:dyDescent="0.25">
      <c r="B30" t="s">
        <v>133</v>
      </c>
      <c r="C30" s="30" t="str">
        <f>IF(I23="Yes",IF(OR(H15&lt;G15,H16&lt;G16,H11&lt;G11,H18&lt;G18),"ERROR (Multiple): Target Max Power must be greater or equal to Target Actual Power",""),"")</f>
        <v/>
      </c>
    </row>
    <row r="31" spans="1:18" x14ac:dyDescent="0.25">
      <c r="B31" t="s">
        <v>134</v>
      </c>
      <c r="C31" s="30" t="str">
        <f>IF(I23="Yes",IF(OR(H15&gt;D15,H16&gt;D16,H18&gt;D18),"ERROR (Multiple): Current Max Power must be greater or equal to Target Max Power",""),"")</f>
        <v/>
      </c>
    </row>
    <row r="32" spans="1:18" x14ac:dyDescent="0.25">
      <c r="B32" t="s">
        <v>135</v>
      </c>
      <c r="C32" s="30" t="str">
        <f>IF(I23="Yes",IF(OR(G15&gt;C15,G16&gt;C16,G18&gt;C18),"ERROR (Multiple): Current Actual Power must be greater or equal to Target Actual Power",""),"")</f>
        <v/>
      </c>
    </row>
    <row r="33" spans="1:3" x14ac:dyDescent="0.25">
      <c r="A33" s="89"/>
      <c r="B33" t="s">
        <v>136</v>
      </c>
      <c r="C33" s="30" t="str">
        <f>IF(I23="Yes",IF(Q15="High",IF(OR(E12&lt;26,E13&lt;26,E17&lt;26,E18&lt;26,E15&lt;26,E16&lt;26),"ERROR (Multiple): Current Power Utilization must not be &lt;26.",""),IF(Q15="Mid",IF(OR(E12&lt;36,E13&lt;36,E17&lt;36,E18&lt;36,E15&lt;36,E16&lt;36),"ERROR (Multiple): Current Power Utilization must not be &lt;36.",""),IF(Q15="Low",IF(OR(E12&lt;48,E13&lt;48,E17&lt;48,E18&lt;48,E15&lt;48,E16&lt;48),"ERROR (Multiple): Current Power Utilization must not be &lt;48.","")))),"")</f>
        <v/>
      </c>
    </row>
    <row r="34" spans="1:3" x14ac:dyDescent="0.25">
      <c r="B34" t="s">
        <v>137</v>
      </c>
      <c r="C34" s="30" t="str">
        <f>IF(I23="Yes",IF(OR(F15="",J15=""),"",IF(J15&lt;F15,"ERROR (Consolidating): Computed Target Computational Utilization must be larger or equal to Computed Current Computational Utilization.","")),"")</f>
        <v/>
      </c>
    </row>
    <row r="35" spans="1:3" x14ac:dyDescent="0.25">
      <c r="B35" t="s">
        <v>138</v>
      </c>
      <c r="C35" s="30" t="str">
        <f>IF(I23="Yes",IF(Q17="High",IF(OR(I11&lt;26,,I18&lt;26, I16&lt;26,I15&lt;26),"ERROR (Multiple): Target Power Utilization must not be &lt;26.",""),IF(Q17="Mid",IF(OR(I11&lt;36,I18&lt;36,I16&lt;36,I15&lt;36),"ERROR (Multiple): Target Power Utilization must not be &lt;36.",""),IF(Q17="Low",IF(OR(I11&lt;48,I18&lt;48, I16&lt;48,I15&lt;48),"ERROR (Multiple): Target Power Utilization must not be &lt;48.","")))),"")</f>
        <v/>
      </c>
    </row>
    <row r="36" spans="1:3" x14ac:dyDescent="0.25">
      <c r="B36" t="s">
        <v>139</v>
      </c>
      <c r="C36" s="30" t="str">
        <f>IF(I23="Yes",IF(OR(F16="",J16=""),"",IF(J16&lt;F16,"ERROR (Clouding): Computed Target Computational Utilization must be larger or equal to Computed Current Computational Utilization.","")),"")</f>
        <v/>
      </c>
    </row>
    <row r="37" spans="1:3" x14ac:dyDescent="0.25">
      <c r="B37" t="s">
        <v>140</v>
      </c>
      <c r="C37" s="30" t="str">
        <f>IF(I23="Yes",IF(OR(F18="",J18=""),"",IF(J18&lt;F18,"ERROR (Universal): Computed Target Computational Utilization must be larger or equal to Computed Current Computational Utilization.","")),"")</f>
        <v/>
      </c>
    </row>
  </sheetData>
  <sheetProtection algorithmName="SHA-512" hashValue="8qz4K9iun4m0aejI88VfVbzliMrhoPzbqUDDprf3/bqoq1eGZuA9NcXNuk4QFHYWDE8oK3wQoH8NZg5tYjibWA==" saltValue="feuxQKcR+jnUIIaBY0+g8A==" spinCount="100000" sheet="1" objects="1" scenarios="1" selectLockedCells="1"/>
  <mergeCells count="13">
    <mergeCell ref="A21:B21"/>
    <mergeCell ref="A14:B14"/>
    <mergeCell ref="A15:B15"/>
    <mergeCell ref="A16:B16"/>
    <mergeCell ref="A17:B17"/>
    <mergeCell ref="A18:B18"/>
    <mergeCell ref="A19:B19"/>
    <mergeCell ref="A13:B13"/>
    <mergeCell ref="C8:F8"/>
    <mergeCell ref="G8:K8"/>
    <mergeCell ref="J9:J10"/>
    <mergeCell ref="A11:B11"/>
    <mergeCell ref="A12:B12"/>
  </mergeCells>
  <conditionalFormatting sqref="K23">
    <cfRule type="notContainsText" dxfId="1" priority="1" operator="notContains" text="No ERRORS Found">
      <formula>ISERROR(SEARCH("No ERRORS Found",K23))</formula>
    </cfRule>
  </conditionalFormatting>
  <dataValidations count="8">
    <dataValidation type="decimal" showInputMessage="1" showErrorMessage="1" errorTitle="Incorrect Value" error="Only values between 0 and 1 allowed." promptTitle="Energy Reduction Factor:" prompt="Enter value between 0 (no power reduction) and 1 (complete power reduction)" sqref="K13" xr:uid="{7DEB79BE-B78C-4A8A-8B06-62F6AB1CD4D6}">
      <formula1>0</formula1>
      <formula2>1</formula2>
    </dataValidation>
    <dataValidation type="textLength" allowBlank="1" showInputMessage="1" showErrorMessage="1" errorTitle="Too long name" error="Only max 12 characters allowed." promptTitle="User Defined Measure" prompt="Enter name with no more than 12 characters." sqref="A18:B18" xr:uid="{6FCCA0C0-0376-4E22-808A-EEC49236F2C5}">
      <formula1>0</formula1>
      <formula2>12</formula2>
    </dataValidation>
    <dataValidation sqref="K23:K25 Q15 Q17" xr:uid="{7E3B171E-7E9B-49FB-8AE1-E41461ADA697}"/>
    <dataValidation errorTitle="Incorrect Value" error="Only values between 0 and 1 allowed." promptTitle="Energy Factor:" prompt="Enter value between 0 (no power reduction) and 1 (complete power reduction)" sqref="K15:K16" xr:uid="{5402522D-23D6-45E2-9B77-BC12B4BF6BA8}"/>
    <dataValidation allowBlank="1" errorTitle="Incorrect Value" error="Only values between 3% and 100% allowed." promptTitle="Comp. Utilization:" prompt="Enter value between 10% and 100%." sqref="J15:J16" xr:uid="{8477A72E-35DA-483B-9748-9F241C33CE00}"/>
    <dataValidation type="decimal" showErrorMessage="1" errorTitle="Inorrect Value" error="Only values between 0 and 100,000 [W] allowed" promptTitle="Max Power:" prompt="Enter value between 0 and 100,000 [W]" sqref="H18 H14 H11 D12:D18" xr:uid="{196EE98D-E8AB-46C5-8A9D-E7D654EB56A5}">
      <formula1>0</formula1>
      <formula2>100000</formula2>
    </dataValidation>
    <dataValidation type="decimal" showErrorMessage="1" errorTitle="Inorrect Value" error="Only values between 0 and 100,000 [W] allowed" promptTitle="Actual Power:" prompt="Enter value between 0 and 100,000 [W]" sqref="G18 C12:C18 G11 G14:G16 H15:H16" xr:uid="{E7D35243-C349-407D-9606-5053B4261C48}">
      <formula1>0</formula1>
      <formula2>100000</formula2>
    </dataValidation>
    <dataValidation type="list" showInputMessage="1" showErrorMessage="1" errorTitle="Incorrect Value." error="ERROR: Only Yes or No allowed." sqref="I23:J25" xr:uid="{3AFAC38E-FAE9-4849-9DF9-D691EA733C72}">
      <formula1>"Yes, No"</formula1>
    </dataValidation>
  </dataValidations>
  <pageMargins left="0.7" right="0.7" top="0.75" bottom="0.75" header="0.3" footer="0.3"/>
  <pageSetup scale="68"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917C9-6BA8-44B0-A72A-71E123F8F5E6}">
  <sheetPr>
    <tabColor rgb="FFFF0000"/>
    <pageSetUpPr fitToPage="1"/>
  </sheetPr>
  <dimension ref="A2:U37"/>
  <sheetViews>
    <sheetView showGridLines="0" zoomScaleNormal="100" workbookViewId="0">
      <selection activeCell="K13" sqref="K13"/>
    </sheetView>
  </sheetViews>
  <sheetFormatPr defaultRowHeight="15" x14ac:dyDescent="0.25"/>
  <cols>
    <col min="1" max="1" width="9.140625" customWidth="1"/>
    <col min="2" max="2" width="5" customWidth="1"/>
    <col min="3" max="12" width="10.7109375" customWidth="1"/>
    <col min="13" max="13" width="5.42578125" customWidth="1"/>
    <col min="16" max="16" width="19.5703125" customWidth="1"/>
  </cols>
  <sheetData>
    <row r="2" spans="1:21" x14ac:dyDescent="0.25">
      <c r="A2" s="11" t="s">
        <v>27</v>
      </c>
      <c r="B2" s="12"/>
      <c r="C2" s="5"/>
    </row>
    <row r="5" spans="1:21" x14ac:dyDescent="0.25">
      <c r="E5" s="29"/>
      <c r="F5" s="29"/>
    </row>
    <row r="6" spans="1:21" x14ac:dyDescent="0.25">
      <c r="C6" s="1" t="s">
        <v>171</v>
      </c>
      <c r="J6" s="85"/>
      <c r="N6" s="1" t="s">
        <v>150</v>
      </c>
    </row>
    <row r="7" spans="1:21" ht="15.75" thickBot="1" x14ac:dyDescent="0.3">
      <c r="N7" s="1" t="s">
        <v>152</v>
      </c>
    </row>
    <row r="8" spans="1:21" ht="16.5" thickTop="1" thickBot="1" x14ac:dyDescent="0.3">
      <c r="C8" s="254" t="s">
        <v>122</v>
      </c>
      <c r="D8" s="255"/>
      <c r="E8" s="255"/>
      <c r="F8" s="256"/>
      <c r="G8" s="259" t="s">
        <v>123</v>
      </c>
      <c r="H8" s="260"/>
      <c r="I8" s="260"/>
      <c r="J8" s="260"/>
      <c r="K8" s="261"/>
      <c r="L8" s="31"/>
      <c r="N8" s="1" t="s">
        <v>148</v>
      </c>
    </row>
    <row r="9" spans="1:21" ht="30" customHeight="1" x14ac:dyDescent="0.25">
      <c r="C9" s="32" t="s">
        <v>22</v>
      </c>
      <c r="D9" s="33" t="s">
        <v>23</v>
      </c>
      <c r="E9" s="33" t="s">
        <v>24</v>
      </c>
      <c r="F9" s="33" t="s">
        <v>118</v>
      </c>
      <c r="G9" s="33" t="s">
        <v>22</v>
      </c>
      <c r="H9" s="33" t="s">
        <v>23</v>
      </c>
      <c r="I9" s="33" t="s">
        <v>24</v>
      </c>
      <c r="J9" s="257" t="s">
        <v>119</v>
      </c>
      <c r="K9" s="79" t="s">
        <v>128</v>
      </c>
      <c r="L9" s="81" t="s">
        <v>24</v>
      </c>
    </row>
    <row r="10" spans="1:21" ht="15.75" thickBot="1" x14ac:dyDescent="0.3">
      <c r="C10" s="22" t="s">
        <v>25</v>
      </c>
      <c r="D10" s="19" t="s">
        <v>25</v>
      </c>
      <c r="E10" s="19" t="s">
        <v>53</v>
      </c>
      <c r="F10" s="19" t="s">
        <v>53</v>
      </c>
      <c r="G10" s="19" t="s">
        <v>25</v>
      </c>
      <c r="H10" s="19" t="s">
        <v>25</v>
      </c>
      <c r="I10" s="19" t="s">
        <v>53</v>
      </c>
      <c r="J10" s="258"/>
      <c r="K10" s="83" t="s">
        <v>120</v>
      </c>
      <c r="L10" s="82" t="s">
        <v>54</v>
      </c>
      <c r="M10" s="77" t="s">
        <v>126</v>
      </c>
      <c r="N10" s="125" t="s">
        <v>127</v>
      </c>
      <c r="O10" s="55"/>
    </row>
    <row r="11" spans="1:21" ht="15.75" thickTop="1" x14ac:dyDescent="0.25">
      <c r="A11" s="248" t="s">
        <v>44</v>
      </c>
      <c r="B11" s="249"/>
      <c r="C11" s="127"/>
      <c r="D11" s="129"/>
      <c r="E11" s="128"/>
      <c r="F11" s="84"/>
      <c r="G11" s="109"/>
      <c r="H11" s="110"/>
      <c r="I11" s="190" t="str">
        <f>IF(G11&gt;H11,"",IF(OR(H11=0,H11="",G11=""),"",100*G11/H11))</f>
        <v/>
      </c>
      <c r="J11" s="191" t="str">
        <f>IF(Q17="High",IF(OR(I11&lt;26,I11=0,I11=""),"",(-43.68376 + 2.392249*I11 - 0.01333084*I11^2 + 0.00005588947*I11^3 - 0.000000181562*I11^4)),IF(Q17="Mid",IF(OR(I11&lt;36,I11=0,I11=""),"",(-56.34485 + 1.694407*I11 + 0.01042965*I11^2 - 0.0001824291*I11^3 + (6.501515/10000000)*I11^4)),IF(OR(I11&lt;48,I11=0,I11=""),"",(-13.06002 - 2.321858*I11 + 0.09423105*I11^2 - 0.0008843781*I11^3 + 0.000002872627*I11^4))))</f>
        <v/>
      </c>
      <c r="K11" s="98"/>
      <c r="L11" s="100" t="str">
        <f>IF(G11&gt;H11,"",IF(G11="","",-G11))</f>
        <v/>
      </c>
      <c r="M11" s="89" t="s">
        <v>141</v>
      </c>
      <c r="N11" s="30" t="str">
        <f>IF(I23="Yes",IF(AND(G11&lt;&gt;"",H11=""),"ERROR: Target Max Power needs value.",IF(AND(H11&lt;&gt;"",G11=""),"ERROR: Target Actual Power needs value.","")),"")</f>
        <v/>
      </c>
    </row>
    <row r="12" spans="1:21" x14ac:dyDescent="0.25">
      <c r="A12" s="250" t="s">
        <v>45</v>
      </c>
      <c r="B12" s="251"/>
      <c r="C12" s="112"/>
      <c r="D12" s="111"/>
      <c r="E12" s="181" t="str">
        <f>IF(C12&gt;D12,"",IF(OR(D12=0,D12="",C12=""),"",100*C12/D12))</f>
        <v/>
      </c>
      <c r="F12" s="182" t="str">
        <f>IF(Q15="High",IF(OR(E12&lt;26,E12=0,E12=""),"",(-43.68376 + 2.392249*E12 - 0.01333084*E12^2 + 0.00005588947*E12^3 - 0.000000181562*E12^4)),IF(Q15="Mid",IF(OR(E12&lt;36,E12=0,E12=""),"",(-56.34485 + 1.694407*E12 + 0.01042965*E12^2 - 0.0001824291*E12^3 + (6.501515/10000000)*E12^4)),IF(OR(E12&lt;48,E12=0,E12=""),"",(-13.06002 - 2.321858*E12 + 0.09423105*E12^2 - 0.0008843781*E12^3 + 0.000002872627*E12^4))))</f>
        <v/>
      </c>
      <c r="G12" s="130"/>
      <c r="H12" s="95"/>
      <c r="I12" s="192"/>
      <c r="J12" s="193"/>
      <c r="K12" s="99"/>
      <c r="L12" s="101" t="str">
        <f>IF(C12&gt;D12,"",IF(C12="","",C12))</f>
        <v/>
      </c>
      <c r="M12" s="89" t="s">
        <v>142</v>
      </c>
      <c r="N12" s="30" t="str">
        <f>IF(I23="Yes",IF(AND(C12&lt;&gt;"",D12=""),"ERROR: Current Max Power needs value.",IF(AND(D12&lt;&gt;"",C12=""),"ERROR: Current Actual Power needs value.","")),"")</f>
        <v/>
      </c>
      <c r="P12" s="30"/>
    </row>
    <row r="13" spans="1:21" x14ac:dyDescent="0.25">
      <c r="A13" s="250" t="s">
        <v>46</v>
      </c>
      <c r="B13" s="251"/>
      <c r="C13" s="112">
        <v>1600</v>
      </c>
      <c r="D13" s="111">
        <v>2000</v>
      </c>
      <c r="E13" s="181">
        <f>IF(C13&gt;D13,"",IF(OR(D13=0,D13="",C13=""),"",100*C13/D13))</f>
        <v>80</v>
      </c>
      <c r="F13" s="183">
        <f>IF(Q15="High",IF(OR(E13&lt;25,E13=0,E13=""),"",(-43.68376 + 2.392249*E13 - 0.01333084*E13^2 + 0.00005588947*E13^3 - 0.000000181562*E13^4)),IF(Q15="Mid",IF(OR(E13&lt;35,E13=0,E13=""),"",(-56.34485 + 1.694407*E13 + 0.01042965*E13^2 - 0.0001824291*E13^3 + (6.501515/10000000)*E13^4)),IF(OR(E13&lt;48,E13=0,E13=""),"",(-13.06002 - 2.321858*E13 + 0.09423105*E13^2 - 0.0008843781*E13^3 + 0.000002872627*E13^4))))</f>
        <v>79.183976240000021</v>
      </c>
      <c r="G13" s="142">
        <f>IF(C13="","",C13*(1-K13))</f>
        <v>1200</v>
      </c>
      <c r="H13" s="117">
        <f>IF(D13="","",D13*(1-K13))</f>
        <v>1500</v>
      </c>
      <c r="I13" s="194">
        <f t="shared" ref="I13:I18" si="0">IF(G13&gt;H13,"",IF(OR(H13=0,H13="",G13=""),"",100*G13/H13))</f>
        <v>80</v>
      </c>
      <c r="J13" s="181">
        <f>F13</f>
        <v>79.183976240000021</v>
      </c>
      <c r="K13" s="266">
        <v>0.25</v>
      </c>
      <c r="L13" s="101">
        <f>IF(C13&gt;D13,"",IF(OR(K13="",G13="",C13=""),"",IF(C13="","",C13-G13)))</f>
        <v>400</v>
      </c>
      <c r="M13" s="89" t="s">
        <v>143</v>
      </c>
      <c r="N13" s="30" t="str">
        <f>IF(I23="Yes",IF(AND(C13&lt;&gt;"",D13=""),"ERROR: Current Max Power needs value.",IF(AND(D13&lt;&gt;"",C13=""),"ERROR: Current Actual Power needs value.","")),"")</f>
        <v/>
      </c>
      <c r="P13" s="30"/>
    </row>
    <row r="14" spans="1:21" ht="15.75" thickBot="1" x14ac:dyDescent="0.3">
      <c r="A14" s="252" t="s">
        <v>47</v>
      </c>
      <c r="B14" s="253"/>
      <c r="C14" s="144"/>
      <c r="D14" s="145"/>
      <c r="E14" s="189"/>
      <c r="F14" s="185"/>
      <c r="G14" s="144"/>
      <c r="H14" s="145"/>
      <c r="I14" s="192"/>
      <c r="J14" s="195"/>
      <c r="K14" s="95"/>
      <c r="L14" s="126"/>
      <c r="M14" s="93" t="s">
        <v>151</v>
      </c>
      <c r="P14" s="30"/>
      <c r="Q14" s="143" t="s">
        <v>162</v>
      </c>
      <c r="U14" s="93"/>
    </row>
    <row r="15" spans="1:21" ht="15.75" thickBot="1" x14ac:dyDescent="0.3">
      <c r="A15" s="250" t="s">
        <v>48</v>
      </c>
      <c r="B15" s="251"/>
      <c r="C15" s="112"/>
      <c r="D15" s="111"/>
      <c r="E15" s="181" t="str">
        <f>IF(C15&gt;D15,"",IF(OR(D15=0,D15="",C15=""),"",100*C15/D15))</f>
        <v/>
      </c>
      <c r="F15" s="183" t="str">
        <f>IF(Q15="High",IF(OR(E15&lt;26,E15=0,E15=""),"",(-43.68376 + 2.392249*E15 - 0.01333084*E15^2 + 0.00005588947*E15^3 - 0.000000181562*E15^4)),IF(Q15="Mid",IF(OR(E15&lt;36,E15=0,E15=""),"",(-56.34485 + 1.694407*E15 + 0.01042965*E15^2 - 0.0001824291*E15^3 + (6.501515/10000000)*E15^4)),IF(OR(E15&lt;48,E15=0,E15=""),"",(-13.06002 - 2.321858*E15 + 0.09423105*E15^2 - 0.0008843781*E15^3 + 0.000002872627*E15^4))))</f>
        <v/>
      </c>
      <c r="G15" s="112"/>
      <c r="H15" s="153"/>
      <c r="I15" s="194" t="str">
        <f t="shared" si="0"/>
        <v/>
      </c>
      <c r="J15" s="199" t="str">
        <f>IF(Q17="High",IF(OR(I15&lt;26,I15=0,I15=""),"",(-43.68376 + 2.392249*I15 - 0.01333084*I15^2 + 0.00005588947*I15^3 - 0.000000181562*I15^4)),IF(Q17="Mid",IF(OR(I15&lt;36,I15=0,I15=""),"",(-56.34485 + 1.694407*I15 + 0.01042965*I15^2 - 0.0001824291*I15^3 + (6.501515/10000000)*I15^4)),IF(OR(I15&lt;48,I15=0,I15=""),"",(-13.06002 - 2.321858*I15 + 0.09423105*I15^2 - 0.0008843781*I15^3 + 0.000002872627*I15^4))))</f>
        <v/>
      </c>
      <c r="K15" s="152"/>
      <c r="L15" s="101" t="str">
        <f>IF(C15&gt;D15,"",IF(OR(C15="",G15=""),"",IF(C15="","",C15-G15)))</f>
        <v/>
      </c>
      <c r="M15" s="89" t="s">
        <v>144</v>
      </c>
      <c r="N15" s="30" t="str">
        <f>IF(I23="Yes",IF(AND(C15&lt;&gt;"",D15=""),"ERROR: Current Max Power needs value.",IF(AND(D15&lt;&gt;"",C15=""),"ERROR: Current Actual Power needs value.",IF(AND(G15&lt;&gt;"",H15=""),"ERROR: Target Max Power needs value.",IF(AND(H15&lt;&gt;"",G15=""),"ERROR: Target Actual Power needs value.","")))),"")</f>
        <v/>
      </c>
      <c r="Q15" s="146" t="str">
        <f>Inventory!G24</f>
        <v>Mid</v>
      </c>
      <c r="R15" s="68" t="str">
        <f>IF(Q15="Mid","2",IF(Q15="Low","1",IF(Q15="High","3","")))</f>
        <v>2</v>
      </c>
    </row>
    <row r="16" spans="1:21" x14ac:dyDescent="0.25">
      <c r="A16" s="250" t="s">
        <v>49</v>
      </c>
      <c r="B16" s="251"/>
      <c r="C16" s="112"/>
      <c r="D16" s="111"/>
      <c r="E16" s="181" t="str">
        <f t="shared" ref="E16:E18" si="1">IF(C16&gt;D16,"",IF(OR(D16=0,D16="",C16=""),"",100*C16/D16))</f>
        <v/>
      </c>
      <c r="F16" s="183" t="str">
        <f>IF(Q15="High",IF(OR(E16&lt;26,E16=0,E16=""),"",(-43.68376 + 2.392249*E16 - 0.01333084*E16^2 + 0.00005588947*E16^3 - 0.000000181562*E16^4)),IF(Q15="Mid",IF(OR(E16&lt;36,E16=0,E16=""),"",(-56.34485 + 1.694407*E16 + 0.01042965*E16^2 - 0.0001824291*E16^3 + (6.501515/10000000)*E16^4)),IF(OR(E16&lt;48,E16=0,E16=""),"",(-13.06002 - 2.321858*E16 + 0.09423105*E16^2 - 0.0008843781*E16^3 + 0.000002872627*E16^4))))</f>
        <v/>
      </c>
      <c r="G16" s="112"/>
      <c r="H16" s="153"/>
      <c r="I16" s="194" t="str">
        <f t="shared" si="0"/>
        <v/>
      </c>
      <c r="J16" s="199" t="str">
        <f>IF(Q17="High",IF(OR(I16&lt;26,I16=0,I16=""),"",(-43.68376 + 2.392249*I16 - 0.01333084*I16^2 + 0.00005588947*I16^3 - 0.000000181562*I16^4)),IF(Q17="Mid",IF(OR(I16&lt;36,I16=0,I16=""),"",(-56.34485 + 1.694407*I16 + 0.01042965*I16^2 - 0.0001824291*I16^3 + (6.501515/10000000)*I16^4)),IF(OR(I16&lt;48,I16=0,I16=""),"",(-13.06002 - 2.321858*I16 + 0.09423105*I16^2 - 0.0008843781*I16^3 + 0.000002872627*I16^4))))</f>
        <v/>
      </c>
      <c r="K16" s="152"/>
      <c r="L16" s="101" t="str">
        <f t="shared" ref="L16:L18" si="2">IF(C16&gt;D16,"",IF(OR(C16="",G16=""),"",IF(C16="","",C16-G16)))</f>
        <v/>
      </c>
      <c r="M16" s="89" t="s">
        <v>145</v>
      </c>
      <c r="N16" s="30" t="str">
        <f>IF(I23="Yes",IF(AND(C16&lt;&gt;"",D16=""),"ERROR: Current Max Power needs value.",IF(AND(D16&lt;&gt;"",C16=""),"ERROR: Current Actual Power needs value.",IF(AND(G16&lt;&gt;"",H16=""),"ERROR: Target Max Power needs value.",IF(AND(H16&lt;&gt;"",G16=""),"ERROR: Target Actual Power needs value.","")))),"")</f>
        <v/>
      </c>
      <c r="Q16" s="149"/>
    </row>
    <row r="17" spans="1:18" x14ac:dyDescent="0.25">
      <c r="A17" s="262" t="s">
        <v>50</v>
      </c>
      <c r="B17" s="263"/>
      <c r="C17" s="113">
        <v>2400</v>
      </c>
      <c r="D17" s="114">
        <v>3000</v>
      </c>
      <c r="E17" s="181">
        <f t="shared" si="1"/>
        <v>80</v>
      </c>
      <c r="F17" s="183">
        <f>IF(Q15="High",IF(OR(E17&lt;26,E17=0,E17=""),"",(-43.68376 + 2.392249*E17 - 0.01333084*E17^2 + 0.00005588947*E17^3 - 0.000000181562*E17^4)),IF(Q15="Mid",IF(OR(E17&lt;36,E17=0,E17=""),"",(-56.34485 + 1.694407*E17 + 0.01042965*E17^2 - 0.0001824291*E17^3 + (6.501515/10000000)*E17^4)),IF(OR(E17&lt;48,E17=0,E17=""),"",(-13.06002 - 2.321858*E17 + 0.09423105*E17^2 - 0.0008843781*E17^3 + 0.000002872627*E17^4))))</f>
        <v>79.183976240000021</v>
      </c>
      <c r="G17" s="103">
        <f>IF(C17&gt;D17,"",IF(C17="","",C17))</f>
        <v>2400</v>
      </c>
      <c r="H17" s="104">
        <f>IF(C17&gt;D17,"",IF(D17="","",D17))</f>
        <v>3000</v>
      </c>
      <c r="I17" s="194">
        <f t="shared" si="0"/>
        <v>80</v>
      </c>
      <c r="J17" s="196">
        <f>IF(Q15="High",IF(OR(E17&lt;26,E17=0,E17=""),"",(-43.68376 + 2.392249*E17 - 0.01333084*E17^2 + 0.00005588947*E17^3 - 0.000000181562*E17^4)),IF(Q15="Mid",IF(OR(E17&lt;36,E17=0,E17=""),"",(-56.34485 + 1.694407*E17 + 0.01042965*E17^2 - 0.0001824291*E17^3 + (6.501515/10000000)*E17^4)),IF(OR(E17&lt;48,E17=0,E17=""),"",(-13.06002 - 2.321858*E17 + 0.09423105*E17^2 - 0.0008843781*E17^3 + 0.000002872627*E17^4))))</f>
        <v>79.183976240000021</v>
      </c>
      <c r="K17" s="95"/>
      <c r="L17" s="101">
        <f t="shared" si="2"/>
        <v>0</v>
      </c>
      <c r="M17" s="89" t="s">
        <v>146</v>
      </c>
      <c r="N17" s="30" t="str">
        <f>IF(I23="Yes",IF(AND(C17&lt;&gt;"",D17=""),"ERROR: Current Max Power needs value.",IF(AND(D17&lt;&gt;"",C17=""),"ERROR: Current Actual Power needs value.","")),"")</f>
        <v/>
      </c>
      <c r="Q17" s="151" t="str">
        <f>Inventory!G24</f>
        <v>Mid</v>
      </c>
      <c r="R17" s="68" t="str">
        <f>IF(Q17="Mid","2",IF(Q17="Low","1",IF(Q17="High","3","")))</f>
        <v>2</v>
      </c>
    </row>
    <row r="18" spans="1:18" ht="15.75" thickBot="1" x14ac:dyDescent="0.3">
      <c r="A18" s="264" t="s">
        <v>155</v>
      </c>
      <c r="B18" s="265"/>
      <c r="C18" s="105"/>
      <c r="D18" s="115"/>
      <c r="E18" s="181" t="str">
        <f t="shared" si="1"/>
        <v/>
      </c>
      <c r="F18" s="186" t="str">
        <f>IF(Q15="High",IF(OR(E18&lt;26,E18=0,E18=""),"",(-43.68376 + 2.392249*E18 - 0.01333084*E18^2 + 0.00005588947*E18^3 - 0.000000181562*E18^4)),IF(Q15="Mid",IF(OR(E18&lt;36,E18=0,E18=""),"",(-56.34485 + 1.694407*E18 + 0.01042965*E18^2 - 0.0001824291*E18^3 + (6.501515/10000000)*E18^4)),IF(OR(E18&lt;48,E18=0,E18=""),"",(-13.06002 - 2.321858*E18 + 0.09423105*E18^2 - 0.0008843781*E18^3 + 0.000002872627*E18^4))))</f>
        <v/>
      </c>
      <c r="G18" s="105"/>
      <c r="H18" s="106"/>
      <c r="I18" s="197" t="str">
        <f t="shared" si="0"/>
        <v/>
      </c>
      <c r="J18" s="196" t="str">
        <f>IF(Q17="High",IF(OR(I18&lt;26,I18=0,I18=""),"",(-43.68376 + 2.392249*I18 - 0.01333084*I18^2 + 0.00005588947*I18^3 - 0.000000181562*I18^4)),IF(Q17="Mid",IF(OR(I18&lt;36,I18=0,I18=""),"",(-56.34485 + 1.694407*I18 + 0.01042965*I18^2 - 0.0001824291*I18^3 + (6.501515/10000000)*I18^4)),IF(OR(I18&lt;48,I18=0,I18=""),"",(-13.06002 - 2.321858*I18 + 0.09423105*I18^2 - 0.0008843781*I18^3 + 0.000002872627*I18^4))))</f>
        <v/>
      </c>
      <c r="K18" s="96"/>
      <c r="L18" s="101" t="str">
        <f t="shared" si="2"/>
        <v/>
      </c>
      <c r="M18" s="89" t="s">
        <v>173</v>
      </c>
      <c r="N18" s="30" t="str">
        <f>IF(I23="Yes",IF(AND(C18&lt;&gt;"",D18=""),"ERROR: Current Max Power needs value.",IF(AND(D18&lt;&gt;"",C18=""),"ERROR: Current Actual Power needs value.",IF(AND(G18&lt;&gt;"",H18=""),"ERROR: Target Max Power needs value.",IF(AND(H18&lt;&gt;"",G18=""),"ERROR: Target Actual Power needs value.","")))),"")</f>
        <v/>
      </c>
    </row>
    <row r="19" spans="1:18" ht="15.75" thickBot="1" x14ac:dyDescent="0.3">
      <c r="A19" s="246" t="s">
        <v>55</v>
      </c>
      <c r="B19" s="247"/>
      <c r="C19" s="107">
        <f>SUM(C12:C18)</f>
        <v>4000</v>
      </c>
      <c r="D19" s="108">
        <f>SUM(D12:D18)</f>
        <v>5000</v>
      </c>
      <c r="E19" s="187">
        <f>IF(D19=0, "", 100*C19/D19)</f>
        <v>80</v>
      </c>
      <c r="F19" s="188">
        <f>IF(Q15="High",IF(OR(E19&lt;25,E19=0,E19=""),"",(-43.68376 + 2.392249*E19 - 0.01333084*E19^2 + 0.00005588947*E19^3 - 0.000000181562*E19^4)),IF(Q15="Mid",IF(OR(E19&lt;35,E19=0,E19=""),"",(-56.34485 + 1.694407*E19 + 0.01042965*E19^2 - 0.0001824291*E19^3 + (6.501515/10000000)*E19^4)),IF(OR(E19&lt;48,E19=0,E19=""),"",(-13.06002 - 2.321858*E19 + 0.09423105*E19^2 - 0.0008843781*E19^3 + 0.000002872627*E19^4))))</f>
        <v>79.183976240000021</v>
      </c>
      <c r="G19" s="107">
        <f>SUM(G11:G18)</f>
        <v>3600</v>
      </c>
      <c r="H19" s="108">
        <f>SUM(H11:H18)</f>
        <v>4500</v>
      </c>
      <c r="I19" s="198">
        <f t="shared" ref="I19" si="3">IF(H19=0, "", 100* G19/H19)</f>
        <v>80</v>
      </c>
      <c r="J19" s="198">
        <f>IF(Q17="High",IF(OR(I19&lt;25,I19=0,I19=""),"",(-43.68376 + 2.392249*I19 - 0.01333084*I19^2 + 0.00005588947*I19^3 - 0.000000181562*I19^4)),IF(Q17="Mid",IF(OR(I19&lt;35,I19=0,I19=""),"",(-56.34485 + 1.694407*I19 + 0.01042965*I19^2 - 0.0001824291*I19^3 + (6.501515/10000000)*I19^4)),IF(OR(I19&lt;48,I19=0,I19=""),"",(-13.06002 - 2.321858*I19 + 0.09423105*I19^2 - 0.0008843781*I19^3 + 0.000002872627*I19^4))))</f>
        <v>79.183976240000021</v>
      </c>
      <c r="K19" s="97"/>
      <c r="L19" s="102">
        <f t="shared" ref="L19" si="4">C19-G19</f>
        <v>400</v>
      </c>
      <c r="M19" s="89"/>
      <c r="N19" s="30"/>
      <c r="O19" s="30"/>
    </row>
    <row r="20" spans="1:18" ht="15.75" thickTop="1" x14ac:dyDescent="0.25">
      <c r="A20" s="86"/>
      <c r="B20" s="86"/>
      <c r="C20" s="116"/>
      <c r="D20" s="116"/>
      <c r="E20" s="87"/>
      <c r="F20" s="85"/>
      <c r="G20" s="88"/>
      <c r="H20" s="88"/>
      <c r="I20" s="87"/>
      <c r="J20" s="85"/>
      <c r="K20" s="85"/>
      <c r="L20" s="88"/>
      <c r="M20" s="147"/>
      <c r="O20" s="30" t="str">
        <f>IF(I23="Yes",IF(R17&lt;R15,"ERROR: Target Power Performance must be higher or equal to Current",""),"")</f>
        <v/>
      </c>
    </row>
    <row r="21" spans="1:18" x14ac:dyDescent="0.25">
      <c r="A21" s="245" t="s">
        <v>160</v>
      </c>
      <c r="B21" s="245"/>
      <c r="C21" s="117">
        <f>Inventory!B35</f>
        <v>4000</v>
      </c>
      <c r="D21" s="117">
        <f>Inventory!C35</f>
        <v>5000</v>
      </c>
      <c r="E21" s="87"/>
      <c r="F21" s="94"/>
      <c r="G21" s="30"/>
      <c r="H21" s="88"/>
      <c r="I21" s="87"/>
      <c r="J21" s="85"/>
      <c r="K21" s="124" t="s">
        <v>161</v>
      </c>
      <c r="L21" s="117">
        <f>SUM(L11:L18)</f>
        <v>400</v>
      </c>
      <c r="M21" s="147"/>
      <c r="O21" s="30" t="str">
        <f>IF(I23="Yes",IF(Q15&lt;&gt;Inventory!G24, "ERROR: Current Power Performance does not match value on Inventory",""),"")</f>
        <v/>
      </c>
    </row>
    <row r="22" spans="1:18" ht="15.75" thickBot="1" x14ac:dyDescent="0.3">
      <c r="A22" s="29"/>
      <c r="M22" s="55"/>
    </row>
    <row r="23" spans="1:18" ht="15.75" thickBot="1" x14ac:dyDescent="0.3">
      <c r="A23" s="29"/>
      <c r="D23" s="56" t="s">
        <v>57</v>
      </c>
      <c r="I23" s="76" t="s">
        <v>56</v>
      </c>
      <c r="J23" s="80"/>
      <c r="K23" s="143" t="str">
        <f>IF(I23="Yes",(IF(AND(C27="", C28="", C29="", C30="", C31="", C32="",C33="",C34="",C35="",N11="",N13="",N15="",N16="",N17="",N18="",O20="",O21=""), "     No ERRORS Found", "     ERRORS Found")),"")</f>
        <v xml:space="preserve">     No ERRORS Found</v>
      </c>
      <c r="L23" s="1"/>
    </row>
    <row r="24" spans="1:18" x14ac:dyDescent="0.25">
      <c r="A24" s="29"/>
      <c r="I24" s="80"/>
      <c r="J24" s="80"/>
      <c r="K24" s="90"/>
      <c r="L24" s="1"/>
    </row>
    <row r="25" spans="1:18" x14ac:dyDescent="0.25">
      <c r="A25" s="29"/>
      <c r="C25" s="125" t="s">
        <v>129</v>
      </c>
      <c r="I25" s="80"/>
      <c r="J25" s="80"/>
      <c r="K25" s="90"/>
      <c r="L25" s="1"/>
    </row>
    <row r="26" spans="1:18" x14ac:dyDescent="0.25">
      <c r="B26" s="55" t="s">
        <v>147</v>
      </c>
      <c r="C26" s="56" t="str">
        <f>IF(L11&lt;0,"INFO: Total Power Save ≠ Waste Recovery since IT equipment added", "")</f>
        <v/>
      </c>
    </row>
    <row r="27" spans="1:18" x14ac:dyDescent="0.25">
      <c r="B27" t="s">
        <v>130</v>
      </c>
      <c r="C27" s="30" t="str">
        <f>IF(I23="Yes", IF(C19 = Inventory!B35, "", "ERROR (Total): Total Current Actual Power ≠ Actual Power for Class 4 in Table 3 on Inventory tab"), "")</f>
        <v/>
      </c>
    </row>
    <row r="28" spans="1:18" x14ac:dyDescent="0.25">
      <c r="B28" t="s">
        <v>131</v>
      </c>
      <c r="C28" s="30" t="str">
        <f>IF(I23="Yes", IF(D19 = Inventory!C35, "", "ERROR (Total): Total Current Max Power ≠ Max Power for Class 4 in Table 3 on Inventory tab"), "")</f>
        <v/>
      </c>
    </row>
    <row r="29" spans="1:18" x14ac:dyDescent="0.25">
      <c r="B29" t="s">
        <v>132</v>
      </c>
      <c r="C29" s="30" t="str">
        <f>IF(I23="Yes",IF(OR(D12&lt;C12, D13&lt;C13, D15&lt;C15, D16&lt;C16, D17&lt;C17,D18&lt;C18),"ERROR (Multiple): Current Max Power must be greater or equal to Current Actual Power", ""),"")</f>
        <v/>
      </c>
    </row>
    <row r="30" spans="1:18" x14ac:dyDescent="0.25">
      <c r="B30" t="s">
        <v>133</v>
      </c>
      <c r="C30" s="30" t="str">
        <f>IF(I23="Yes",IF(OR(H15&lt;G15,H16&lt;G16,H11&lt;G11,H18&lt;G18),"ERROR (Multiple): Target Max Power must be greater or equal to Target Actual Power",""),"")</f>
        <v/>
      </c>
    </row>
    <row r="31" spans="1:18" x14ac:dyDescent="0.25">
      <c r="B31" t="s">
        <v>134</v>
      </c>
      <c r="C31" s="30" t="str">
        <f>IF(I23="Yes",IF(OR(H15&gt;D15,H16&gt;D16,H18&gt;D18),"ERROR (Multiple): Current Max Power must be greater or equal to Target Max Power",""),"")</f>
        <v/>
      </c>
    </row>
    <row r="32" spans="1:18" x14ac:dyDescent="0.25">
      <c r="B32" t="s">
        <v>135</v>
      </c>
      <c r="C32" s="30" t="str">
        <f>IF(I23="Yes",IF(OR(G15&gt;C15,G16&gt;C16,G18&gt;C18),"ERROR (Multiple): Current Actual Power must be greater or equal to Target Actual Power",""),"")</f>
        <v/>
      </c>
    </row>
    <row r="33" spans="1:3" x14ac:dyDescent="0.25">
      <c r="A33" s="89"/>
      <c r="B33" t="s">
        <v>136</v>
      </c>
      <c r="C33" s="30" t="str">
        <f>IF(I23="Yes",IF(Q15="High",IF(OR(E12&lt;26,E13&lt;26,E17&lt;26,E18&lt;26,E15&lt;26,E16&lt;26),"ERROR (Multiple): Current Power Utilization must not be &lt;26.",""),IF(Q15="Mid",IF(OR(E12&lt;36,E13&lt;36,E17&lt;36,E18&lt;36,E15&lt;36,E16&lt;36),"ERROR (Multiple): Current Power Utilization must not be &lt;36.",""),IF(Q15="Low",IF(OR(E12&lt;48,E13&lt;48,E17&lt;48,E18&lt;48,E15&lt;48,E16&lt;48),"ERROR (Multiple): Current Power Utilization must not be &lt;48.","")))),"")</f>
        <v/>
      </c>
    </row>
    <row r="34" spans="1:3" x14ac:dyDescent="0.25">
      <c r="B34" t="s">
        <v>137</v>
      </c>
      <c r="C34" s="30" t="str">
        <f>IF(I23="Yes",IF(OR(F15="",J15=""),"",IF(J15&lt;F15,"ERROR (Consolidating): Computed Target Computational Utilization must be larger or equal to Computed Current Computational Utilization.","")),"")</f>
        <v/>
      </c>
    </row>
    <row r="35" spans="1:3" x14ac:dyDescent="0.25">
      <c r="B35" t="s">
        <v>138</v>
      </c>
      <c r="C35" s="30" t="str">
        <f>IF(I23="Yes",IF(Q17="High",IF(OR(I11&lt;26,,I18&lt;26, I16&lt;26,I15&lt;26),"ERROR (Multiple): Target Power Utilization must not be &lt;26.",""),IF(Q17="Mid",IF(OR(I11&lt;36,I18&lt;36,I16&lt;36,I15&lt;36),"ERROR (Multiple): Target Power Utilization must not be &lt;36.",""),IF(Q17="Low",IF(OR(I11&lt;48,I18&lt;48, I16&lt;48,I15&lt;48),"ERROR (Multiple): Target Power Utilization must not be &lt;48.","")))),"")</f>
        <v/>
      </c>
    </row>
    <row r="36" spans="1:3" x14ac:dyDescent="0.25">
      <c r="B36" t="s">
        <v>139</v>
      </c>
      <c r="C36" s="30" t="str">
        <f>IF(I23="Yes",IF(OR(F16="",J16=""),"",IF(J16&lt;F16,"ERROR (Clouding): Computed Target Computational Utilization must be larger or equal to Computed Current Computational Utilization.","")),"")</f>
        <v/>
      </c>
    </row>
    <row r="37" spans="1:3" x14ac:dyDescent="0.25">
      <c r="B37" t="s">
        <v>140</v>
      </c>
      <c r="C37" s="30" t="str">
        <f>IF(I23="Yes",IF(OR(F18="",J18=""),"",IF(J18&lt;F18,"ERROR (Universal): Computed Target Computational Utilization must be larger or equal to Computed Current Computational Utilization.","")),"")</f>
        <v/>
      </c>
    </row>
  </sheetData>
  <sheetProtection algorithmName="SHA-512" hashValue="pD5vH3IR2BO9N3sFBjkiqm0CfCfn4IyJfg4cAYLn/M0nmtewK1GhdpaFoKmAMGuDYoBzQmD5WJfSOOzds5fhnQ==" saltValue="c4w4CBbJLt12joL1hqYIIQ==" spinCount="100000" sheet="1" objects="1" scenarios="1" selectLockedCells="1"/>
  <mergeCells count="13">
    <mergeCell ref="A21:B21"/>
    <mergeCell ref="A14:B14"/>
    <mergeCell ref="A15:B15"/>
    <mergeCell ref="A16:B16"/>
    <mergeCell ref="A17:B17"/>
    <mergeCell ref="A18:B18"/>
    <mergeCell ref="A19:B19"/>
    <mergeCell ref="A13:B13"/>
    <mergeCell ref="C8:F8"/>
    <mergeCell ref="G8:K8"/>
    <mergeCell ref="J9:J10"/>
    <mergeCell ref="A11:B11"/>
    <mergeCell ref="A12:B12"/>
  </mergeCells>
  <conditionalFormatting sqref="K23">
    <cfRule type="notContainsText" dxfId="0" priority="1" operator="notContains" text="No ERRORS Found">
      <formula>ISERROR(SEARCH("No ERRORS Found",K23))</formula>
    </cfRule>
  </conditionalFormatting>
  <dataValidations count="8">
    <dataValidation type="decimal" showInputMessage="1" showErrorMessage="1" errorTitle="Incorrect Value" error="Only values between 0 and 1 allowed." promptTitle="Energy Reduction Factor:" prompt="Enter value between 0 (no power reduction) and 1 (complete power reduction)" sqref="K13" xr:uid="{0FE45ED8-9E39-4015-84B7-AAB27E8C6E70}">
      <formula1>0</formula1>
      <formula2>1</formula2>
    </dataValidation>
    <dataValidation type="textLength" allowBlank="1" showInputMessage="1" showErrorMessage="1" errorTitle="Too long name" error="Only max 12 characters allowed." promptTitle="User Defined Measure" prompt="Enter name with no more than 12 characters." sqref="A18:B18" xr:uid="{A08673AD-4477-4F03-8641-82D40B92A2CA}">
      <formula1>0</formula1>
      <formula2>12</formula2>
    </dataValidation>
    <dataValidation sqref="K23:K25 Q15 Q17" xr:uid="{0D562F81-A2C0-45A6-9105-C99CDB57BCBD}"/>
    <dataValidation errorTitle="Incorrect Value" error="Only values between 0 and 1 allowed." promptTitle="Energy Factor:" prompt="Enter value between 0 (no power reduction) and 1 (complete power reduction)" sqref="K15:K16" xr:uid="{ED5FEE9F-3AA0-4CC9-92D8-0C49B36AA497}"/>
    <dataValidation allowBlank="1" errorTitle="Incorrect Value" error="Only values between 3% and 100% allowed." promptTitle="Comp. Utilization:" prompt="Enter value between 10% and 100%." sqref="J15:J16" xr:uid="{4BF60D7B-ABED-4EE7-AE64-320E00A89327}"/>
    <dataValidation type="decimal" showErrorMessage="1" errorTitle="Inorrect Value" error="Only values between 0 and 100,000 [W] allowed" promptTitle="Max Power:" prompt="Enter value between 0 and 100,000 [W]" sqref="H18 H14 H11 D12:D18" xr:uid="{5CF2120E-ED4F-4F65-B4D8-DEE1B96ECFD6}">
      <formula1>0</formula1>
      <formula2>100000</formula2>
    </dataValidation>
    <dataValidation type="decimal" showErrorMessage="1" errorTitle="Inorrect Value" error="Only values between 0 and 100,000 [W] allowed" promptTitle="Actual Power:" prompt="Enter value between 0 and 100,000 [W]" sqref="G18 C12:C18 G11 G14:G16 H15:H16" xr:uid="{D8B297ED-4A83-42DF-98CF-24D49DC499FD}">
      <formula1>0</formula1>
      <formula2>100000</formula2>
    </dataValidation>
    <dataValidation type="list" showInputMessage="1" showErrorMessage="1" errorTitle="Incorrect Value." error="ERROR: Only Yes or No allowed." sqref="I23:J25" xr:uid="{F5828A7F-1AB2-4B1F-A821-D8C29A974139}">
      <formula1>"Yes, No"</formula1>
    </dataValidation>
  </dataValidations>
  <pageMargins left="0.7" right="0.7" top="0.75" bottom="0.75" header="0.3" footer="0.3"/>
  <pageSetup scale="68"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A3C2A-3572-465C-9EEB-875D92213EC3}">
  <sheetPr>
    <tabColor rgb="FF00B050"/>
  </sheetPr>
  <dimension ref="A2:G31"/>
  <sheetViews>
    <sheetView showGridLines="0" workbookViewId="0">
      <selection activeCell="E7" sqref="E7"/>
    </sheetView>
  </sheetViews>
  <sheetFormatPr defaultRowHeight="15" x14ac:dyDescent="0.25"/>
  <cols>
    <col min="4" max="4" width="62.28515625" customWidth="1"/>
  </cols>
  <sheetData>
    <row r="2" spans="1:7" x14ac:dyDescent="0.25">
      <c r="A2" s="52" t="s">
        <v>10</v>
      </c>
      <c r="B2" s="39"/>
      <c r="C2" s="37"/>
    </row>
    <row r="3" spans="1:7" x14ac:dyDescent="0.25">
      <c r="A3" s="56"/>
      <c r="B3" s="1"/>
    </row>
    <row r="5" spans="1:7" ht="15.75" thickBot="1" x14ac:dyDescent="0.3"/>
    <row r="6" spans="1:7" ht="16.5" thickTop="1" thickBot="1" x14ac:dyDescent="0.3">
      <c r="C6" s="43" t="s">
        <v>21</v>
      </c>
      <c r="D6" s="44" t="s">
        <v>58</v>
      </c>
      <c r="E6" s="45" t="s">
        <v>74</v>
      </c>
      <c r="G6" s="1" t="s">
        <v>81</v>
      </c>
    </row>
    <row r="7" spans="1:7" ht="30.75" customHeight="1" thickTop="1" x14ac:dyDescent="0.25">
      <c r="C7" s="216">
        <v>1</v>
      </c>
      <c r="D7" s="58" t="s">
        <v>96</v>
      </c>
      <c r="E7" s="267" t="s">
        <v>76</v>
      </c>
      <c r="G7" s="78" t="s">
        <v>94</v>
      </c>
    </row>
    <row r="8" spans="1:7" ht="28.5" customHeight="1" x14ac:dyDescent="0.25">
      <c r="C8" s="213">
        <v>2</v>
      </c>
      <c r="D8" s="59" t="s">
        <v>97</v>
      </c>
      <c r="E8" s="267" t="s">
        <v>76</v>
      </c>
      <c r="G8" s="1" t="s">
        <v>158</v>
      </c>
    </row>
    <row r="9" spans="1:7" ht="28.5" customHeight="1" x14ac:dyDescent="0.25">
      <c r="C9" s="213">
        <v>3</v>
      </c>
      <c r="D9" s="60" t="s">
        <v>77</v>
      </c>
      <c r="E9" s="267" t="s">
        <v>56</v>
      </c>
    </row>
    <row r="10" spans="1:7" ht="30" customHeight="1" x14ac:dyDescent="0.25">
      <c r="C10" s="213">
        <v>4</v>
      </c>
      <c r="D10" s="60" t="s">
        <v>78</v>
      </c>
      <c r="E10" s="267" t="s">
        <v>76</v>
      </c>
    </row>
    <row r="11" spans="1:7" ht="31.5" x14ac:dyDescent="0.25">
      <c r="C11" s="213">
        <v>5</v>
      </c>
      <c r="D11" s="59" t="s">
        <v>98</v>
      </c>
      <c r="E11" s="267" t="s">
        <v>76</v>
      </c>
    </row>
    <row r="12" spans="1:7" ht="31.5" x14ac:dyDescent="0.25">
      <c r="C12" s="213">
        <v>6</v>
      </c>
      <c r="D12" s="59" t="s">
        <v>99</v>
      </c>
      <c r="E12" s="267" t="s">
        <v>56</v>
      </c>
    </row>
    <row r="13" spans="1:7" ht="31.5" x14ac:dyDescent="0.25">
      <c r="C13" s="213">
        <v>7</v>
      </c>
      <c r="D13" s="59" t="s">
        <v>82</v>
      </c>
      <c r="E13" s="267" t="s">
        <v>76</v>
      </c>
    </row>
    <row r="14" spans="1:7" ht="31.5" x14ac:dyDescent="0.25">
      <c r="C14" s="213">
        <v>8</v>
      </c>
      <c r="D14" s="59" t="s">
        <v>100</v>
      </c>
      <c r="E14" s="267" t="s">
        <v>76</v>
      </c>
    </row>
    <row r="15" spans="1:7" ht="33" customHeight="1" x14ac:dyDescent="0.25">
      <c r="C15" s="213">
        <v>9</v>
      </c>
      <c r="D15" s="60" t="s">
        <v>93</v>
      </c>
      <c r="E15" s="267" t="s">
        <v>76</v>
      </c>
    </row>
    <row r="16" spans="1:7" ht="31.5" x14ac:dyDescent="0.25">
      <c r="C16" s="213">
        <v>10</v>
      </c>
      <c r="D16" s="59" t="s">
        <v>103</v>
      </c>
      <c r="E16" s="267" t="s">
        <v>76</v>
      </c>
    </row>
    <row r="17" spans="3:5" ht="31.5" x14ac:dyDescent="0.25">
      <c r="C17" s="213">
        <v>11</v>
      </c>
      <c r="D17" s="59" t="s">
        <v>83</v>
      </c>
      <c r="E17" s="267" t="s">
        <v>76</v>
      </c>
    </row>
    <row r="18" spans="3:5" ht="31.5" x14ac:dyDescent="0.25">
      <c r="C18" s="213">
        <v>12</v>
      </c>
      <c r="D18" s="59" t="s">
        <v>84</v>
      </c>
      <c r="E18" s="267" t="s">
        <v>56</v>
      </c>
    </row>
    <row r="19" spans="3:5" ht="31.5" x14ac:dyDescent="0.25">
      <c r="C19" s="213">
        <v>13</v>
      </c>
      <c r="D19" s="59" t="s">
        <v>101</v>
      </c>
      <c r="E19" s="267" t="s">
        <v>56</v>
      </c>
    </row>
    <row r="20" spans="3:5" ht="31.5" x14ac:dyDescent="0.25">
      <c r="C20" s="213">
        <v>14</v>
      </c>
      <c r="D20" s="61" t="s">
        <v>102</v>
      </c>
      <c r="E20" s="267" t="s">
        <v>76</v>
      </c>
    </row>
    <row r="21" spans="3:5" ht="31.5" x14ac:dyDescent="0.25">
      <c r="C21" s="213">
        <v>15</v>
      </c>
      <c r="D21" s="59" t="s">
        <v>85</v>
      </c>
      <c r="E21" s="267" t="s">
        <v>76</v>
      </c>
    </row>
    <row r="22" spans="3:5" ht="31.5" x14ac:dyDescent="0.25">
      <c r="C22" s="213">
        <v>16</v>
      </c>
      <c r="D22" s="59" t="s">
        <v>86</v>
      </c>
      <c r="E22" s="267" t="s">
        <v>56</v>
      </c>
    </row>
    <row r="23" spans="3:5" ht="30.75" customHeight="1" x14ac:dyDescent="0.25">
      <c r="C23" s="213">
        <v>17</v>
      </c>
      <c r="D23" s="60" t="s">
        <v>87</v>
      </c>
      <c r="E23" s="267" t="s">
        <v>76</v>
      </c>
    </row>
    <row r="24" spans="3:5" ht="31.5" x14ac:dyDescent="0.25">
      <c r="C24" s="217">
        <v>18</v>
      </c>
      <c r="D24" s="212" t="s">
        <v>88</v>
      </c>
      <c r="E24" s="268" t="s">
        <v>76</v>
      </c>
    </row>
    <row r="25" spans="3:5" ht="33.75" customHeight="1" x14ac:dyDescent="0.25">
      <c r="C25" s="213">
        <v>19</v>
      </c>
      <c r="D25" s="59" t="s">
        <v>232</v>
      </c>
      <c r="E25" s="269" t="s">
        <v>76</v>
      </c>
    </row>
    <row r="26" spans="3:5" ht="33" customHeight="1" x14ac:dyDescent="0.25">
      <c r="C26" s="213">
        <v>20</v>
      </c>
      <c r="D26" s="59" t="s">
        <v>233</v>
      </c>
      <c r="E26" s="269" t="s">
        <v>56</v>
      </c>
    </row>
    <row r="27" spans="3:5" ht="30" customHeight="1" x14ac:dyDescent="0.25">
      <c r="C27" s="213">
        <v>21</v>
      </c>
      <c r="D27" s="224" t="s">
        <v>234</v>
      </c>
      <c r="E27" s="269" t="s">
        <v>76</v>
      </c>
    </row>
    <row r="28" spans="3:5" ht="30" customHeight="1" x14ac:dyDescent="0.25">
      <c r="C28" s="213">
        <v>22</v>
      </c>
      <c r="D28" s="61" t="s">
        <v>229</v>
      </c>
      <c r="E28" s="269" t="s">
        <v>76</v>
      </c>
    </row>
    <row r="29" spans="3:5" ht="30" customHeight="1" x14ac:dyDescent="0.25">
      <c r="C29" s="213">
        <v>23</v>
      </c>
      <c r="D29" s="61" t="s">
        <v>230</v>
      </c>
      <c r="E29" s="269" t="s">
        <v>76</v>
      </c>
    </row>
    <row r="30" spans="3:5" ht="30" customHeight="1" thickBot="1" x14ac:dyDescent="0.3">
      <c r="C30" s="214">
        <v>24</v>
      </c>
      <c r="D30" s="215" t="s">
        <v>231</v>
      </c>
      <c r="E30" s="270" t="s">
        <v>76</v>
      </c>
    </row>
    <row r="31" spans="3:5" ht="15.75" thickTop="1" x14ac:dyDescent="0.25"/>
  </sheetData>
  <sheetProtection algorithmName="SHA-512" hashValue="VJVr4h9Ea4byt1Zl9g1OIH6lacWv3rcs+FCR3JdDWtPuhNPB44CGADHtRJ89cTCD4quPhWnTXp6tUDz+vi+61w==" saltValue="/Aa6RvFjUh7p9ATm/0q9qg==" spinCount="100000" sheet="1" objects="1" scenarios="1" selectLockedCells="1"/>
  <dataValidations count="1">
    <dataValidation type="list" showInputMessage="1" showErrorMessage="1" errorTitle="Incorrect Value" error="ERROR: Only Yes or No allowed." sqref="E7:E30" xr:uid="{952E1A6E-FD3E-4249-8A1E-C7CEE52CB4BC}">
      <formula1>"Yes, No"</formula1>
    </dataValidation>
  </dataValidations>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28354-3330-4396-ADED-E7CF3A8C8FDA}">
  <sheetPr>
    <tabColor theme="5" tint="0.39997558519241921"/>
  </sheetPr>
  <dimension ref="A2:Z60"/>
  <sheetViews>
    <sheetView showGridLines="0" workbookViewId="0">
      <selection activeCell="O19" sqref="O19"/>
    </sheetView>
  </sheetViews>
  <sheetFormatPr defaultRowHeight="15" x14ac:dyDescent="0.25"/>
  <sheetData>
    <row r="2" spans="1:26" x14ac:dyDescent="0.25">
      <c r="A2" s="53" t="s">
        <v>113</v>
      </c>
      <c r="B2" s="40"/>
      <c r="C2" s="35"/>
    </row>
    <row r="6" spans="1:26" ht="15.75" thickBot="1" x14ac:dyDescent="0.3"/>
    <row r="7" spans="1:26" ht="15.75" thickBot="1" x14ac:dyDescent="0.3">
      <c r="A7" s="1" t="s">
        <v>59</v>
      </c>
      <c r="D7" s="1" t="s">
        <v>51</v>
      </c>
      <c r="E7" s="48">
        <f>Inventory!D36</f>
        <v>60</v>
      </c>
      <c r="F7" t="s">
        <v>60</v>
      </c>
      <c r="L7" s="1" t="s">
        <v>89</v>
      </c>
      <c r="V7" s="67"/>
      <c r="W7" s="67"/>
      <c r="X7" s="67"/>
      <c r="Y7" s="67"/>
      <c r="Z7" s="67"/>
    </row>
    <row r="8" spans="1:26" ht="15.75" thickBot="1" x14ac:dyDescent="0.3">
      <c r="D8" s="1" t="s">
        <v>52</v>
      </c>
      <c r="E8" s="48">
        <f>IF(AND('Class 1'!H19=0,'Class 2'!H19=0,'Class 3'!H19=0,'Class 4'!H19=0),"", 100*((IF('Class 1'!I23="No", 'Class 1'!C19, 'Class 1'!G19) + IF('Class 2'!I23="No",'Class 2'!C19,'Class 2'!G19)+ IF('Class 3'!I23="No", 'Class 3'!C19,'Class 3'!G19) + IF('Class 4'!I23="No", 'Class 4'!C19,'Class 4'!G19))/(IF('Class 1'!I23="No", 'Class 1'!D19,'Class 1'!H19) + IF('Class 2'!I23="No", 'Class 2'!D19,'Class 2'!H19) + IF('Class 3'!I23="No", 'Class 3'!D19,'Class 3'!H19) + IF('Class 4'!I23="No", 'Class 4'!D19,'Class 4'!H19))))</f>
        <v>71.442622950819668</v>
      </c>
      <c r="F8" t="s">
        <v>60</v>
      </c>
      <c r="L8" s="1" t="s">
        <v>115</v>
      </c>
      <c r="V8" s="67"/>
      <c r="W8" s="67"/>
      <c r="X8" s="67"/>
      <c r="Y8" s="67"/>
      <c r="Z8" s="68" t="s">
        <v>228</v>
      </c>
    </row>
    <row r="9" spans="1:26" x14ac:dyDescent="0.25">
      <c r="V9" s="67"/>
      <c r="W9" s="67"/>
      <c r="X9" s="67"/>
      <c r="Y9" s="67"/>
      <c r="Z9" s="210">
        <v>1</v>
      </c>
    </row>
    <row r="10" spans="1:26" ht="15.75" thickBot="1" x14ac:dyDescent="0.3">
      <c r="J10" s="46"/>
      <c r="L10" t="s">
        <v>116</v>
      </c>
      <c r="V10" s="68" t="s">
        <v>177</v>
      </c>
      <c r="W10" s="67"/>
      <c r="X10" s="211">
        <f>O19</f>
        <v>1.1000000000000001</v>
      </c>
      <c r="Y10" s="67"/>
      <c r="Z10" s="67"/>
    </row>
    <row r="11" spans="1:26" ht="15.75" thickBot="1" x14ac:dyDescent="0.3">
      <c r="A11" s="1" t="s">
        <v>61</v>
      </c>
      <c r="E11" s="42">
        <f>IF('Class 1'!I23="No", 0, 'Class 1'!L19)+ IF('Class 2'!I23="No", 0,'Class 2'!L19)+ IF('Class 3'!I23="No", 0,'Class 3'!L19)+ IF('Class 4'!I23="No", 0,'Class 4'!L19)</f>
        <v>8210</v>
      </c>
      <c r="F11" t="s">
        <v>62</v>
      </c>
      <c r="J11" s="46"/>
      <c r="L11" t="s">
        <v>156</v>
      </c>
      <c r="V11" s="68" t="s">
        <v>178</v>
      </c>
      <c r="W11" s="67"/>
      <c r="X11" s="211">
        <v>0.751</v>
      </c>
      <c r="Y11" s="67"/>
      <c r="Z11" s="67"/>
    </row>
    <row r="12" spans="1:26" ht="15.75" thickBot="1" x14ac:dyDescent="0.3">
      <c r="L12" t="s">
        <v>105</v>
      </c>
      <c r="V12" s="68" t="s">
        <v>179</v>
      </c>
      <c r="W12" s="67"/>
      <c r="X12" s="211">
        <v>0.92</v>
      </c>
      <c r="Y12" s="67"/>
      <c r="Z12" s="67"/>
    </row>
    <row r="13" spans="1:26" ht="15.75" thickBot="1" x14ac:dyDescent="0.3">
      <c r="A13" s="1" t="s">
        <v>63</v>
      </c>
      <c r="E13" s="42">
        <f>E11*(J13-1)</f>
        <v>4105</v>
      </c>
      <c r="F13" t="s">
        <v>62</v>
      </c>
      <c r="H13" s="1" t="s">
        <v>64</v>
      </c>
      <c r="J13" s="202">
        <v>1.5</v>
      </c>
      <c r="V13" s="68" t="s">
        <v>180</v>
      </c>
      <c r="W13" s="67"/>
      <c r="X13" s="211">
        <v>0.72499999999999998</v>
      </c>
      <c r="Y13" s="67"/>
      <c r="Z13" s="67"/>
    </row>
    <row r="14" spans="1:26" ht="15.75" thickBot="1" x14ac:dyDescent="0.3">
      <c r="V14" s="68" t="s">
        <v>181</v>
      </c>
      <c r="W14" s="67"/>
      <c r="X14" s="211">
        <v>1.087</v>
      </c>
      <c r="Y14" s="67"/>
      <c r="Z14" s="67"/>
    </row>
    <row r="15" spans="1:26" ht="15.75" thickBot="1" x14ac:dyDescent="0.3">
      <c r="A15" s="1" t="s">
        <v>65</v>
      </c>
      <c r="E15" s="42">
        <f>(E11+E13)*8760/1000</f>
        <v>107879.4</v>
      </c>
      <c r="F15" t="s">
        <v>79</v>
      </c>
      <c r="V15" s="68" t="s">
        <v>182</v>
      </c>
      <c r="W15" s="67"/>
      <c r="X15" s="211">
        <v>0.47899999999999998</v>
      </c>
      <c r="Y15" s="67"/>
      <c r="Z15" s="67"/>
    </row>
    <row r="16" spans="1:26" ht="15.75" thickBot="1" x14ac:dyDescent="0.3">
      <c r="V16" s="68" t="s">
        <v>183</v>
      </c>
      <c r="W16" s="67"/>
      <c r="X16" s="211">
        <v>1.2170000000000001</v>
      </c>
      <c r="Y16" s="67"/>
      <c r="Z16" s="67"/>
    </row>
    <row r="17" spans="1:26" ht="15.75" thickBot="1" x14ac:dyDescent="0.3">
      <c r="A17" s="1" t="s">
        <v>72</v>
      </c>
      <c r="E17" s="42">
        <f>E15*J17</f>
        <v>12945.527999999998</v>
      </c>
      <c r="F17" t="s">
        <v>66</v>
      </c>
      <c r="H17" s="1" t="s">
        <v>67</v>
      </c>
      <c r="J17" s="202">
        <v>0.12</v>
      </c>
      <c r="K17" t="s">
        <v>68</v>
      </c>
      <c r="V17" s="68" t="s">
        <v>184</v>
      </c>
      <c r="W17" s="67"/>
      <c r="X17" s="211">
        <v>0.51500000000000001</v>
      </c>
      <c r="Y17" s="67"/>
      <c r="Z17" s="67"/>
    </row>
    <row r="18" spans="1:26" ht="15.75" thickBot="1" x14ac:dyDescent="0.3">
      <c r="L18" s="203"/>
      <c r="M18" s="204" t="s">
        <v>235</v>
      </c>
      <c r="N18" s="205"/>
      <c r="O18" s="204" t="s">
        <v>177</v>
      </c>
      <c r="P18" s="206"/>
      <c r="V18" s="68" t="s">
        <v>185</v>
      </c>
      <c r="W18" s="67"/>
      <c r="X18" s="211">
        <v>0.86799999999999999</v>
      </c>
      <c r="Y18" s="67"/>
      <c r="Z18" s="67"/>
    </row>
    <row r="19" spans="1:26" ht="15.75" thickBot="1" x14ac:dyDescent="0.3">
      <c r="A19" s="1" t="s">
        <v>73</v>
      </c>
      <c r="E19" s="42">
        <f>E15*J19</f>
        <v>118667.34</v>
      </c>
      <c r="F19" t="s">
        <v>71</v>
      </c>
      <c r="H19" s="1" t="s">
        <v>69</v>
      </c>
      <c r="J19" s="201">
        <f>INDEX(X10:X60,Z9)/(1-(O21/100))</f>
        <v>1.1000000000000001</v>
      </c>
      <c r="K19" t="s">
        <v>70</v>
      </c>
      <c r="L19" s="207"/>
      <c r="M19" s="208"/>
      <c r="N19" s="208"/>
      <c r="O19" s="200">
        <v>1.1000000000000001</v>
      </c>
      <c r="P19" s="209" t="s">
        <v>70</v>
      </c>
      <c r="V19" s="68" t="s">
        <v>186</v>
      </c>
      <c r="W19" s="67"/>
      <c r="X19" s="211">
        <v>0.83399999999999996</v>
      </c>
      <c r="Y19" s="67"/>
      <c r="Z19" s="67"/>
    </row>
    <row r="20" spans="1:26" ht="15.75" thickBot="1" x14ac:dyDescent="0.3">
      <c r="V20" s="68" t="s">
        <v>187</v>
      </c>
      <c r="W20" s="67"/>
      <c r="X20" s="211">
        <v>0.75800000000000001</v>
      </c>
      <c r="Y20" s="67"/>
      <c r="Z20" s="67"/>
    </row>
    <row r="21" spans="1:26" ht="15.75" thickBot="1" x14ac:dyDescent="0.3">
      <c r="A21" s="1" t="s">
        <v>245</v>
      </c>
      <c r="E21" s="225">
        <f>IF(E17=0,"N/A",(J21/E17))</f>
        <v>1.931168817525249</v>
      </c>
      <c r="F21" t="s">
        <v>246</v>
      </c>
      <c r="H21" s="1" t="s">
        <v>248</v>
      </c>
      <c r="J21" s="271">
        <v>25000</v>
      </c>
      <c r="K21" t="s">
        <v>247</v>
      </c>
      <c r="M21" s="1" t="s">
        <v>256</v>
      </c>
      <c r="O21" s="76">
        <v>0</v>
      </c>
      <c r="P21" t="s">
        <v>60</v>
      </c>
      <c r="V21" s="68" t="s">
        <v>188</v>
      </c>
      <c r="W21" s="67"/>
      <c r="X21" s="211">
        <v>1.4910000000000001</v>
      </c>
      <c r="Y21" s="67"/>
      <c r="Z21" s="67"/>
    </row>
    <row r="22" spans="1:26" ht="15.75" thickBot="1" x14ac:dyDescent="0.3">
      <c r="V22" s="68" t="s">
        <v>189</v>
      </c>
      <c r="W22" s="67"/>
      <c r="X22" s="211">
        <v>0.27100000000000002</v>
      </c>
      <c r="Y22" s="67"/>
      <c r="Z22" s="67"/>
    </row>
    <row r="23" spans="1:26" ht="15.75" thickBot="1" x14ac:dyDescent="0.3">
      <c r="A23" s="1" t="s">
        <v>259</v>
      </c>
      <c r="E23" s="42">
        <f>(E11*8760*J23)/1000</f>
        <v>143839.20000000001</v>
      </c>
      <c r="F23" t="s">
        <v>258</v>
      </c>
      <c r="H23" s="1" t="s">
        <v>257</v>
      </c>
      <c r="J23" s="76">
        <v>2</v>
      </c>
      <c r="K23" t="s">
        <v>260</v>
      </c>
      <c r="V23" s="68" t="s">
        <v>190</v>
      </c>
      <c r="W23" s="67"/>
      <c r="X23" s="211">
        <v>0.65300000000000002</v>
      </c>
      <c r="Y23" s="67"/>
      <c r="Z23" s="67"/>
    </row>
    <row r="24" spans="1:26" x14ac:dyDescent="0.25">
      <c r="V24" s="68" t="s">
        <v>191</v>
      </c>
      <c r="W24" s="67"/>
      <c r="X24" s="211">
        <v>1.633</v>
      </c>
      <c r="Y24" s="67"/>
      <c r="Z24" s="67"/>
    </row>
    <row r="25" spans="1:26" x14ac:dyDescent="0.25">
      <c r="C25" s="1"/>
      <c r="V25" s="68" t="s">
        <v>192</v>
      </c>
      <c r="W25" s="67"/>
      <c r="X25" s="211">
        <v>0.76900000000000002</v>
      </c>
      <c r="Y25" s="67"/>
      <c r="Z25" s="67"/>
    </row>
    <row r="26" spans="1:26" x14ac:dyDescent="0.25">
      <c r="A26" s="1" t="s">
        <v>251</v>
      </c>
      <c r="V26" s="68" t="s">
        <v>193</v>
      </c>
      <c r="W26" s="67"/>
      <c r="X26" s="211">
        <v>0.83799999999999997</v>
      </c>
      <c r="Y26" s="67"/>
      <c r="Z26" s="67"/>
    </row>
    <row r="27" spans="1:26" ht="15.75" thickBot="1" x14ac:dyDescent="0.3">
      <c r="V27" s="68" t="s">
        <v>194</v>
      </c>
      <c r="W27" s="67"/>
      <c r="X27" s="211">
        <v>1.7270000000000001</v>
      </c>
      <c r="Y27" s="67"/>
      <c r="Z27" s="67"/>
    </row>
    <row r="28" spans="1:26" ht="15.75" thickBot="1" x14ac:dyDescent="0.3">
      <c r="A28" s="1" t="s">
        <v>249</v>
      </c>
      <c r="E28" s="226">
        <f>IF(Inventory!B36="","",Inventory!B36)</f>
        <v>30000</v>
      </c>
      <c r="F28" t="s">
        <v>62</v>
      </c>
      <c r="V28" s="68" t="s">
        <v>195</v>
      </c>
      <c r="W28" s="67"/>
      <c r="X28" s="211">
        <v>0.82599999999999996</v>
      </c>
      <c r="Y28" s="67"/>
      <c r="Z28" s="67"/>
    </row>
    <row r="29" spans="1:26" ht="15.75" thickBot="1" x14ac:dyDescent="0.3">
      <c r="V29" s="68" t="s">
        <v>196</v>
      </c>
      <c r="W29" s="67"/>
      <c r="X29" s="211">
        <v>0.30099999999999999</v>
      </c>
      <c r="Y29" s="67"/>
      <c r="Z29" s="67"/>
    </row>
    <row r="30" spans="1:26" ht="15.75" thickBot="1" x14ac:dyDescent="0.3">
      <c r="A30" s="1" t="s">
        <v>250</v>
      </c>
      <c r="E30" s="42">
        <f>IF(OR(E28="",E11=""),"",E28-E11)</f>
        <v>21790</v>
      </c>
      <c r="F30" t="s">
        <v>62</v>
      </c>
      <c r="V30" s="68" t="s">
        <v>197</v>
      </c>
      <c r="W30" s="67"/>
      <c r="X30" s="211">
        <v>0.69799999999999995</v>
      </c>
      <c r="Y30" s="67"/>
      <c r="Z30" s="67"/>
    </row>
    <row r="31" spans="1:26" x14ac:dyDescent="0.25">
      <c r="V31" s="68" t="s">
        <v>198</v>
      </c>
      <c r="W31" s="67"/>
      <c r="X31" s="211">
        <v>0.85099999999999998</v>
      </c>
      <c r="Y31" s="67"/>
      <c r="Z31" s="67"/>
    </row>
    <row r="32" spans="1:26" x14ac:dyDescent="0.25">
      <c r="V32" s="68" t="s">
        <v>199</v>
      </c>
      <c r="W32" s="67"/>
      <c r="X32" s="211">
        <v>1.004</v>
      </c>
      <c r="Y32" s="67"/>
      <c r="Z32" s="67"/>
    </row>
    <row r="33" spans="22:26" x14ac:dyDescent="0.25">
      <c r="V33" s="68" t="s">
        <v>200</v>
      </c>
      <c r="W33" s="67"/>
      <c r="X33" s="211">
        <v>0.82599999999999996</v>
      </c>
      <c r="Y33" s="67"/>
      <c r="Z33" s="67"/>
    </row>
    <row r="34" spans="22:26" x14ac:dyDescent="0.25">
      <c r="V34" s="68" t="s">
        <v>201</v>
      </c>
      <c r="W34" s="67"/>
      <c r="X34" s="211">
        <v>0.83399999999999996</v>
      </c>
      <c r="Y34" s="67"/>
      <c r="Z34" s="67"/>
    </row>
    <row r="35" spans="22:26" x14ac:dyDescent="0.25">
      <c r="V35" s="68" t="s">
        <v>202</v>
      </c>
      <c r="W35" s="67"/>
      <c r="X35" s="211">
        <v>1.6359999999999999</v>
      </c>
      <c r="Y35" s="67"/>
      <c r="Z35" s="67"/>
    </row>
    <row r="36" spans="22:26" x14ac:dyDescent="0.25">
      <c r="V36" s="68" t="s">
        <v>203</v>
      </c>
      <c r="W36" s="67"/>
      <c r="X36" s="211">
        <v>1.0449999999999999</v>
      </c>
      <c r="Y36" s="67"/>
      <c r="Z36" s="67"/>
    </row>
    <row r="37" spans="22:26" x14ac:dyDescent="0.25">
      <c r="V37" s="68" t="s">
        <v>204</v>
      </c>
      <c r="W37" s="67"/>
      <c r="X37" s="211">
        <v>1.125</v>
      </c>
      <c r="Y37" s="67"/>
      <c r="Z37" s="67"/>
    </row>
    <row r="38" spans="22:26" x14ac:dyDescent="0.25">
      <c r="V38" s="68" t="s">
        <v>205</v>
      </c>
      <c r="W38" s="67"/>
      <c r="X38" s="211">
        <v>0.71499999999999997</v>
      </c>
      <c r="Y38" s="67"/>
      <c r="Z38" s="67"/>
    </row>
    <row r="39" spans="22:26" x14ac:dyDescent="0.25">
      <c r="V39" s="68" t="s">
        <v>206</v>
      </c>
      <c r="W39" s="67"/>
      <c r="X39" s="211">
        <v>0.30399999999999999</v>
      </c>
      <c r="Y39" s="67"/>
      <c r="Z39" s="67"/>
    </row>
    <row r="40" spans="22:26" x14ac:dyDescent="0.25">
      <c r="V40" s="68" t="s">
        <v>207</v>
      </c>
      <c r="W40" s="67"/>
      <c r="X40" s="211">
        <v>0.48099999999999998</v>
      </c>
      <c r="Y40" s="67"/>
      <c r="Z40" s="67"/>
    </row>
    <row r="41" spans="22:26" x14ac:dyDescent="0.25">
      <c r="V41" s="68" t="s">
        <v>208</v>
      </c>
      <c r="W41" s="67"/>
      <c r="X41" s="211">
        <v>1.1339999999999999</v>
      </c>
      <c r="Y41" s="67"/>
      <c r="Z41" s="67"/>
    </row>
    <row r="42" spans="22:26" x14ac:dyDescent="0.25">
      <c r="V42" s="68" t="s">
        <v>209</v>
      </c>
      <c r="W42" s="67"/>
      <c r="X42" s="211">
        <v>0.45500000000000002</v>
      </c>
      <c r="Y42" s="67"/>
      <c r="Z42" s="67"/>
    </row>
    <row r="43" spans="22:26" x14ac:dyDescent="0.25">
      <c r="V43" s="68" t="s">
        <v>210</v>
      </c>
      <c r="W43" s="67"/>
      <c r="X43" s="211">
        <v>0.66900000000000004</v>
      </c>
      <c r="Y43" s="67"/>
      <c r="Z43" s="67"/>
    </row>
    <row r="44" spans="22:26" x14ac:dyDescent="0.25">
      <c r="V44" s="68" t="s">
        <v>211</v>
      </c>
      <c r="W44" s="67"/>
      <c r="X44" s="211">
        <v>1.341</v>
      </c>
      <c r="Y44" s="67"/>
      <c r="Z44" s="67"/>
    </row>
    <row r="45" spans="22:26" x14ac:dyDescent="0.25">
      <c r="V45" s="68" t="s">
        <v>212</v>
      </c>
      <c r="W45" s="67"/>
      <c r="X45" s="211">
        <v>1.208</v>
      </c>
      <c r="Y45" s="67"/>
      <c r="Z45" s="67"/>
    </row>
    <row r="46" spans="22:26" x14ac:dyDescent="0.25">
      <c r="V46" s="68" t="s">
        <v>213</v>
      </c>
      <c r="W46" s="67"/>
      <c r="X46" s="211">
        <v>0.754</v>
      </c>
      <c r="Y46" s="67"/>
      <c r="Z46" s="67"/>
    </row>
    <row r="47" spans="22:26" x14ac:dyDescent="0.25">
      <c r="V47" s="68" t="s">
        <v>214</v>
      </c>
      <c r="W47" s="67"/>
      <c r="X47" s="211">
        <v>0.32600000000000001</v>
      </c>
      <c r="Y47" s="67"/>
      <c r="Z47" s="67"/>
    </row>
    <row r="48" spans="22:26" x14ac:dyDescent="0.25">
      <c r="V48" s="68" t="s">
        <v>215</v>
      </c>
      <c r="W48" s="67"/>
      <c r="X48" s="211">
        <v>0.72599999999999998</v>
      </c>
      <c r="Y48" s="67"/>
      <c r="Z48" s="67"/>
    </row>
    <row r="49" spans="22:26" x14ac:dyDescent="0.25">
      <c r="V49" s="68" t="s">
        <v>216</v>
      </c>
      <c r="W49" s="67"/>
      <c r="X49" s="211">
        <v>0.83299999999999996</v>
      </c>
      <c r="Y49" s="67"/>
      <c r="Z49" s="67"/>
    </row>
    <row r="50" spans="22:26" x14ac:dyDescent="0.25">
      <c r="V50" s="68" t="s">
        <v>217</v>
      </c>
      <c r="W50" s="67"/>
      <c r="X50" s="211">
        <v>0.56699999999999995</v>
      </c>
      <c r="Y50" s="67"/>
      <c r="Z50" s="67"/>
    </row>
    <row r="51" spans="22:26" x14ac:dyDescent="0.25">
      <c r="V51" s="68" t="s">
        <v>218</v>
      </c>
      <c r="W51" s="67"/>
      <c r="X51" s="211">
        <v>0.30299999999999999</v>
      </c>
      <c r="Y51" s="67"/>
      <c r="Z51" s="67"/>
    </row>
    <row r="52" spans="22:26" x14ac:dyDescent="0.25">
      <c r="V52" s="68" t="s">
        <v>219</v>
      </c>
      <c r="W52" s="67"/>
      <c r="X52" s="211">
        <v>0.69799999999999995</v>
      </c>
      <c r="Y52" s="67"/>
      <c r="Z52" s="67"/>
    </row>
    <row r="53" spans="22:26" x14ac:dyDescent="0.25">
      <c r="V53" s="68" t="s">
        <v>220</v>
      </c>
      <c r="W53" s="67"/>
      <c r="X53" s="211">
        <v>0.85599999999999998</v>
      </c>
      <c r="Y53" s="67"/>
      <c r="Z53" s="67"/>
    </row>
    <row r="54" spans="22:26" x14ac:dyDescent="0.25">
      <c r="V54" s="68" t="s">
        <v>221</v>
      </c>
      <c r="W54" s="67"/>
      <c r="X54" s="211">
        <v>1.5609999999999999</v>
      </c>
      <c r="Y54" s="67"/>
      <c r="Z54" s="67"/>
    </row>
    <row r="55" spans="22:26" x14ac:dyDescent="0.25">
      <c r="V55" s="68" t="s">
        <v>222</v>
      </c>
      <c r="W55" s="67"/>
      <c r="X55" s="211">
        <v>3.5999999999999997E-2</v>
      </c>
      <c r="Y55" s="67"/>
      <c r="Z55" s="67"/>
    </row>
    <row r="56" spans="22:26" x14ac:dyDescent="0.25">
      <c r="V56" s="68" t="s">
        <v>223</v>
      </c>
      <c r="W56" s="67"/>
      <c r="X56" s="211">
        <v>0.59899999999999998</v>
      </c>
      <c r="Y56" s="67"/>
      <c r="Z56" s="67"/>
    </row>
    <row r="57" spans="22:26" x14ac:dyDescent="0.25">
      <c r="V57" s="68" t="s">
        <v>224</v>
      </c>
      <c r="W57" s="67"/>
      <c r="X57" s="211">
        <v>0.20200000000000001</v>
      </c>
      <c r="Y57" s="67"/>
      <c r="Z57" s="67"/>
    </row>
    <row r="58" spans="22:26" x14ac:dyDescent="0.25">
      <c r="V58" s="68" t="s">
        <v>225</v>
      </c>
      <c r="W58" s="67"/>
      <c r="X58" s="211">
        <v>1.944</v>
      </c>
      <c r="Y58" s="67"/>
      <c r="Z58" s="67"/>
    </row>
    <row r="59" spans="22:26" x14ac:dyDescent="0.25">
      <c r="V59" s="68" t="s">
        <v>226</v>
      </c>
      <c r="W59" s="67"/>
      <c r="X59" s="211">
        <v>1.2669999999999999</v>
      </c>
      <c r="Y59" s="67"/>
      <c r="Z59" s="67"/>
    </row>
    <row r="60" spans="22:26" x14ac:dyDescent="0.25">
      <c r="V60" s="68" t="s">
        <v>227</v>
      </c>
      <c r="W60" s="67"/>
      <c r="X60" s="211">
        <v>1.8340000000000001</v>
      </c>
      <c r="Y60" s="67"/>
      <c r="Z60" s="67"/>
    </row>
  </sheetData>
  <sheetProtection algorithmName="SHA-512" hashValue="9Jkl7EBRIy3Fcp0pNOfbHwdvy5y2qLrx5TugUq/2ssZG6MoWjMq8MsSg6BNeP1Yu3ORqoA5X0o07Au86VH6DiQ==" saltValue="An4nZrk1xNsMLfaCrra3Ng==" spinCount="100000" sheet="1" objects="1" scenarios="1" selectLockedCells="1"/>
  <dataValidations disablePrompts="1" count="7">
    <dataValidation type="decimal" showInputMessage="1" showErrorMessage="1" errorTitle="Out of Range" error="ERROR: Entered value is outside the allowable range of 1.00 - 4.00." prompt="Enter a PUE value between 1.00 and 4.00." sqref="J13" xr:uid="{A47F8877-C56F-4D1C-8A67-D9939292C211}">
      <formula1>1</formula1>
      <formula2>4</formula2>
    </dataValidation>
    <dataValidation type="decimal" showInputMessage="1" showErrorMessage="1" errorTitle="Out of Range" error="ERROR: Entered value is outside the allowable range of 0.01 - 0.50 $/kWh." prompt="Enter an energy price between 0.01 and 0.50 $/kWh." sqref="J17" xr:uid="{F7ED1956-4066-410C-ADB8-46A70A7AFB35}">
      <formula1>0.01</formula1>
      <formula2>0.5</formula2>
    </dataValidation>
    <dataValidation sqref="J19" xr:uid="{410EDF2D-20D4-49B2-88E3-38C23FE6CBFC}"/>
    <dataValidation type="decimal" showInputMessage="1" showErrorMessage="1" errorTitle="Out of Range" error="ERROR: Entered value is outside the allowable range of $1 - $1,000,000" prompt="Enter a value between $1 and $1,000,000 (without the dollar sign)" sqref="J21" xr:uid="{107A7A0C-1D73-4658-AEE2-30287318BC6A}">
      <formula1>1</formula1>
      <formula2>1000000</formula2>
    </dataValidation>
    <dataValidation type="decimal" showInputMessage="1" showErrorMessage="1" errorTitle="Out of Range" error="ERROR: Entered value is outside the allowable range of 0.1-5.0 lbs/kWh." prompt="Enter an emission rate between 0.1 and 5.0 lbs/kWh." sqref="O19" xr:uid="{C83C4019-3BC6-41D4-9F30-F70C43C1F578}">
      <formula1>0.1</formula1>
      <formula2>5</formula2>
    </dataValidation>
    <dataValidation type="decimal" allowBlank="1" showInputMessage="1" showErrorMessage="1" errorTitle="Out of Range" error="ERROR: Entered value is outside the allowable range of 0-50 L/kWh(IT)." prompt="Enter a WUE value between 0 and 50 L/kWh(IT)." sqref="J23" xr:uid="{58D5CF0A-F84B-4434-A90D-3AC8390BC32A}">
      <formula1>0</formula1>
      <formula2>50</formula2>
    </dataValidation>
    <dataValidation type="decimal" allowBlank="1" showInputMessage="1" showErrorMessage="1" errorTitle="Out of Range" error="ERROR: Entered value is outside the allowable range of 0-10%." prompt="Enter a value between 0 and 10 %." sqref="O21" xr:uid="{27535CC0-EE4F-4684-B9C3-63B2C46CA925}">
      <formula1>0</formula1>
      <formula2>10</formula2>
    </dataValidation>
  </dataValidations>
  <pageMargins left="0.7" right="0.7" top="0.75" bottom="0.75" header="0.3" footer="0.3"/>
  <pageSetup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Drop Down 2">
              <controlPr defaultSize="0" autoLine="0" autoPict="0">
                <anchor moveWithCells="1">
                  <from>
                    <xdr:col>11</xdr:col>
                    <xdr:colOff>447675</xdr:colOff>
                    <xdr:row>17</xdr:row>
                    <xdr:rowOff>190500</xdr:rowOff>
                  </from>
                  <to>
                    <xdr:col>13</xdr:col>
                    <xdr:colOff>142875</xdr:colOff>
                    <xdr:row>18</xdr:row>
                    <xdr:rowOff>190500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DED82-EC5E-424B-9324-BEB9EF2D03D2}">
  <sheetPr>
    <tabColor rgb="FF00B0F0"/>
  </sheetPr>
  <dimension ref="A2:F31"/>
  <sheetViews>
    <sheetView showGridLines="0" workbookViewId="0">
      <selection activeCell="G25" sqref="G25"/>
    </sheetView>
  </sheetViews>
  <sheetFormatPr defaultRowHeight="15" x14ac:dyDescent="0.25"/>
  <cols>
    <col min="4" max="4" width="71.28515625" customWidth="1"/>
  </cols>
  <sheetData>
    <row r="2" spans="1:6" x14ac:dyDescent="0.25">
      <c r="A2" s="54" t="s">
        <v>11</v>
      </c>
      <c r="B2" s="41"/>
      <c r="C2" s="36"/>
    </row>
    <row r="5" spans="1:6" ht="15.75" thickBot="1" x14ac:dyDescent="0.3"/>
    <row r="6" spans="1:6" ht="16.5" thickTop="1" thickBot="1" x14ac:dyDescent="0.3">
      <c r="C6" s="43" t="s">
        <v>21</v>
      </c>
      <c r="D6" s="45" t="s">
        <v>75</v>
      </c>
      <c r="F6" s="1" t="s">
        <v>95</v>
      </c>
    </row>
    <row r="7" spans="1:6" ht="63.75" customHeight="1" thickTop="1" x14ac:dyDescent="0.25">
      <c r="C7" s="220">
        <v>1</v>
      </c>
      <c r="D7" s="62" t="str">
        <f>IF(Questions!E7="Yes","","CRITICAL VALUE: Since energy savings alone are likely not an important justification for energy assessment projects, it is critical that the assessor articulates both the total value and the critical value (hot buttons) to the business.")</f>
        <v>CRITICAL VALUE: Since energy savings alone are likely not an important justification for energy assessment projects, it is critical that the assessor articulates both the total value and the critical value (hot buttons) to the business.</v>
      </c>
      <c r="F7" s="78" t="s">
        <v>117</v>
      </c>
    </row>
    <row r="8" spans="1:6" ht="63.75" customHeight="1" x14ac:dyDescent="0.25">
      <c r="C8" s="220">
        <v>2</v>
      </c>
      <c r="D8" s="63" t="str">
        <f>IF(Questions!E8="Yes","", "STAKEHOLDERS: There are many stakeholders. The obvious ones are Facilities and IT, but that’s far from all. You have to crawl each thread of this web to identify those who may benefit from the project or potentially be harmed.")</f>
        <v>STAKEHOLDERS: There are many stakeholders. The obvious ones are Facilities and IT, but that’s far from all. You have to crawl each thread of this web to identify those who may benefit from the project or potentially be harmed.</v>
      </c>
    </row>
    <row r="9" spans="1:6" ht="63.75" customHeight="1" x14ac:dyDescent="0.25">
      <c r="C9" s="220">
        <v>3</v>
      </c>
      <c r="D9" s="64" t="str">
        <f>IF(Questions!E9="Yes","", "INVENTORY: This is a list of all IT gear and its characteristics. This is the first step in an IT efficiency project. How to establish this listing is dictated by the sophistication of asset management; software is best but manual efforts may be needed.")</f>
        <v/>
      </c>
    </row>
    <row r="10" spans="1:6" ht="60.75" customHeight="1" x14ac:dyDescent="0.25">
      <c r="C10" s="220">
        <v>4</v>
      </c>
      <c r="D10" s="64" t="str">
        <f>IF(Questions!E10="Yes","", "UTILIZATION: Tracking IT utilization plays a central role in making the IT (and infrastructure) estate energy efficient. Methods should be in place to continuously monitor the utilization. Energy Star equipment requires direct access to CPU utilization.")</f>
        <v>UTILIZATION: Tracking IT utilization plays a central role in making the IT (and infrastructure) estate energy efficient. Methods should be in place to continuously monitor the utilization. Energy Star equipment requires direct access to CPU utilization.</v>
      </c>
    </row>
    <row r="11" spans="1:6" ht="63" customHeight="1" x14ac:dyDescent="0.25">
      <c r="C11" s="220">
        <v>5</v>
      </c>
      <c r="D11" s="64" t="str">
        <f>IF(Questions!E11="Yes","", "ITAM: An Information Technology Asset Management system is the best way to manage IT gear. ITAM can also be programmed to automatically alarm or report on conditions that will be favorable for waste harvesting and consolidation.")</f>
        <v>ITAM: An Information Technology Asset Management system is the best way to manage IT gear. ITAM can also be programmed to automatically alarm or report on conditions that will be favorable for waste harvesting and consolidation.</v>
      </c>
    </row>
    <row r="12" spans="1:6" ht="61.5" customHeight="1" x14ac:dyDescent="0.25">
      <c r="C12" s="220">
        <v>6</v>
      </c>
      <c r="D12" s="64" t="str">
        <f>IF(Questions!E12="Yes","", "REMOVAL POLICY: Establish an operations policy that requires that IT equipment that is no longer needed, regardless of reason, be unplugged from power and physically removed from the data center space.")</f>
        <v/>
      </c>
    </row>
    <row r="13" spans="1:6" ht="60" customHeight="1" x14ac:dyDescent="0.25">
      <c r="C13" s="220">
        <v>7</v>
      </c>
      <c r="D13" s="64" t="str">
        <f>IF(Questions!E13="Yes","", "ENERGY STAR: Energy Star certified IT equipment ensure certain levels of energy efficiency and control of energy-related operation. Energy Star requires direct access to power, intake temperatures, and processor utilization. Strongly recommended.")</f>
        <v>ENERGY STAR: Energy Star certified IT equipment ensure certain levels of energy efficiency and control of energy-related operation. Energy Star requires direct access to power, intake temperatures, and processor utilization. Strongly recommended.</v>
      </c>
    </row>
    <row r="14" spans="1:6" ht="62.25" customHeight="1" x14ac:dyDescent="0.25">
      <c r="C14" s="220">
        <v>8</v>
      </c>
      <c r="D14" s="64" t="str">
        <f>IF(Questions!E14="Yes","", "OVERHEAD WORK: The ability to determine the level of data processing due to execution of business applications versus overhead functions can provide additional opportunities for consolidation of workloads and reducing IT gear count.")</f>
        <v>OVERHEAD WORK: The ability to determine the level of data processing due to execution of business applications versus overhead functions can provide additional opportunities for consolidation of workloads and reducing IT gear count.</v>
      </c>
    </row>
    <row r="15" spans="1:6" ht="60.75" customHeight="1" x14ac:dyDescent="0.25">
      <c r="C15" s="220">
        <v>9</v>
      </c>
      <c r="D15" s="64" t="str">
        <f>IF(Questions!E15="Yes","", "VIRTUAL IT EQUIPMENT: IT equipment waste occurs to virtual as well as physical assets. Because of the high level of virtualization  in enterprise data centers, it is necessary to apply the same analytical rigor to virtual assets.")</f>
        <v>VIRTUAL IT EQUIPMENT: IT equipment waste occurs to virtual as well as physical assets. Because of the high level of virtualization  in enterprise data centers, it is necessary to apply the same analytical rigor to virtual assets.</v>
      </c>
    </row>
    <row r="16" spans="1:6" ht="60" customHeight="1" x14ac:dyDescent="0.25">
      <c r="C16" s="220">
        <v>10</v>
      </c>
      <c r="D16" s="64" t="str">
        <f>IF(Questions!E16="Yes","", "UTILIZATION TRACKING: In absence of an Information Technology Asset Management (ITAM) system, it may be necessary to schedule (and budget) for routine recurring IT audits. Audits should be designed to identify unused or underutilized equipment.")</f>
        <v>UTILIZATION TRACKING: In absence of an Information Technology Asset Management (ITAM) system, it may be necessary to schedule (and budget) for routine recurring IT audits. Audits should be designed to identify unused or underutilized equipment.</v>
      </c>
    </row>
    <row r="17" spans="3:4" ht="60.75" customHeight="1" x14ac:dyDescent="0.25">
      <c r="C17" s="220">
        <v>11</v>
      </c>
      <c r="D17" s="64" t="str">
        <f>IF(Questions!E17="Yes","", "UTILIZATION TOOLS: The assessor should establish an inventory of tools and the Methods of Procedure (MOPs) to assess asset utilization. This inventory of tools and processes can also serve as a basis of justification to acquire more sophisticated tools.")</f>
        <v>UTILIZATION TOOLS: The assessor should establish an inventory of tools and the Methods of Procedure (MOPs) to assess asset utilization. This inventory of tools and processes can also serve as a basis of justification to acquire more sophisticated tools.</v>
      </c>
    </row>
    <row r="18" spans="3:4" ht="62.25" customHeight="1" x14ac:dyDescent="0.25">
      <c r="C18" s="220">
        <v>12</v>
      </c>
      <c r="D18" s="64" t="str">
        <f>IF(Questions!E18="Yes","", "DECOMMISSIONING: This process should include regular inventory and monitoring of IT assets, shutting down long-term idle equipment, identifying underutilized hardware, removing equipment from completed projects, and retiring legacy hardware.")</f>
        <v/>
      </c>
    </row>
    <row r="19" spans="3:4" ht="62.25" customHeight="1" x14ac:dyDescent="0.25">
      <c r="C19" s="220">
        <v>13</v>
      </c>
      <c r="D19" s="65" t="str">
        <f>IF(Questions!E19="Yes","", "REFRESH: Refreshing oldest gear first can deliver significant energy savings, especially if older gear is pre-Energy Star vintage. Besides energy savings it provides higher computational and virtualization capabilities.")</f>
        <v/>
      </c>
    </row>
    <row r="20" spans="3:4" ht="63" customHeight="1" x14ac:dyDescent="0.25">
      <c r="C20" s="220">
        <v>14</v>
      </c>
      <c r="D20" s="64" t="str">
        <f>IF(Questions!E20="Yes","", "80+ POWER SUPPLIES: 80+ power suppies can deliver savings even beyond the Energy Star requirements. There are multiple tiers and the highest tier provides around 92% energy efficiency. Strongly recommended for new equipment.")</f>
        <v>80+ POWER SUPPLIES: 80+ power suppies can deliver savings even beyond the Energy Star requirements. There are multiple tiers and the highest tier provides around 92% energy efficiency. Strongly recommended for new equipment.</v>
      </c>
    </row>
    <row r="21" spans="3:4" ht="62.25" customHeight="1" x14ac:dyDescent="0.25">
      <c r="C21" s="220">
        <v>15</v>
      </c>
      <c r="D21" s="64" t="str">
        <f>IF(Questions!E21="Yes","", "CLOUD WORKLOADS: Transferring workload to the cloud is likely to reduce total energy and carbon, but does not eliminate them for that workload. Declare a method of estimation for the impact of outsourcing those workloads to cloud operators.")</f>
        <v>CLOUD WORKLOADS: Transferring workload to the cloud is likely to reduce total energy and carbon, but does not eliminate them for that workload. Declare a method of estimation for the impact of outsourcing those workloads to cloud operators.</v>
      </c>
    </row>
    <row r="22" spans="3:4" ht="62.25" customHeight="1" x14ac:dyDescent="0.25">
      <c r="C22" s="220">
        <v>16</v>
      </c>
      <c r="D22" s="64" t="str">
        <f>IF(Questions!E22="Yes","", "POWER MANAGEMENT: IT gear includes power management to improve energy efficiency. It helps track power usage with utilization. It is common that end users disable such features out of fear they impact IT performance. These fears are mostly unfounded.")</f>
        <v/>
      </c>
    </row>
    <row r="23" spans="3:4" ht="63.75" customHeight="1" x14ac:dyDescent="0.25">
      <c r="C23" s="220">
        <v>17</v>
      </c>
      <c r="D23" s="64" t="str">
        <f>IF(Questions!E23="Yes","", "ENERGY ACTIVITY POLICY: The Energy Activity Policy, as a part of the SLA, provides the operational framework for balancing energy consumption with availability and performance requirements.")</f>
        <v>ENERGY ACTIVITY POLICY: The Energy Activity Policy, as a part of the SLA, provides the operational framework for balancing energy consumption with availability and performance requirements.</v>
      </c>
    </row>
    <row r="24" spans="3:4" ht="64.5" customHeight="1" x14ac:dyDescent="0.25">
      <c r="C24" s="221">
        <v>18</v>
      </c>
      <c r="D24" s="218" t="str">
        <f>IF(Questions!E24="Yes","", "PROVISIONING POLICY: Provisioning reviews should be regular and periodic to reflect utilization, SLA’s, and technology changes. Since new equipment process data more energy efficiently this has to be taken into consideration in the provisioning policy.")</f>
        <v>PROVISIONING POLICY: Provisioning reviews should be regular and periodic to reflect utilization, SLA’s, and technology changes. Since new equipment process data more energy efficiently this has to be taken into consideration in the provisioning policy.</v>
      </c>
    </row>
    <row r="25" spans="3:4" ht="65.25" customHeight="1" x14ac:dyDescent="0.25">
      <c r="C25" s="222">
        <v>19</v>
      </c>
      <c r="D25" s="65" t="str">
        <f>IF(Questions!E25="Yes","", "REFRESH: Consider a server refresh. Servers are cost effective for 3-5 years. New servers have higher processing power with smaller footprint. They also have better energy characteristics and energy management features making them more energy efficient.")</f>
        <v>REFRESH: Consider a server refresh. Servers are cost effective for 3-5 years. New servers have higher processing power with smaller footprint. They also have better energy characteristics and energy management features making them more energy efficient.</v>
      </c>
    </row>
    <row r="26" spans="3:4" ht="65.25" customHeight="1" x14ac:dyDescent="0.25">
      <c r="C26" s="222">
        <v>20</v>
      </c>
      <c r="D26" s="65" t="str">
        <f>IF(Questions!E26="Yes","", "DECOMMISSIONING: Long-term idling servers should be decommissioned. They produce very little or no useful work while occupying expensive data center space and consuming between 20% and 50% power of a fully utilized server.")</f>
        <v/>
      </c>
    </row>
    <row r="27" spans="3:4" ht="65.25" customHeight="1" x14ac:dyDescent="0.25">
      <c r="C27" s="222">
        <v>21</v>
      </c>
      <c r="D27" s="65" t="str">
        <f>IF(Questions!E27="Yes","", "CONSOLIDATION: Under-utilized servers should be consolidated. A server at 10-50% utilization may be a candidate. Virtualization is an example of a software-based consolidation technology. Consolidation results in space and energy savings.")</f>
        <v>CONSOLIDATION: Under-utilized servers should be consolidated. A server at 10-50% utilization may be a candidate. Virtualization is an example of a software-based consolidation technology. Consolidation results in space and energy savings.</v>
      </c>
    </row>
    <row r="28" spans="3:4" ht="66" customHeight="1" x14ac:dyDescent="0.25">
      <c r="C28" s="222">
        <v>22</v>
      </c>
      <c r="D28" s="65" t="str">
        <f>IF(Questions!E28="Yes","", "ONBOARD SENSORS: Accessing onboard server sensors (rather than relying on external sensors) for key operational parameters is cost effective and makes server management much easier. Onboard sensors are always an integral part of the server itself.")</f>
        <v>ONBOARD SENSORS: Accessing onboard server sensors (rather than relying on external sensors) for key operational parameters is cost effective and makes server management much easier. Onboard sensors are always an integral part of the server itself.</v>
      </c>
    </row>
    <row r="29" spans="3:4" ht="64.5" customHeight="1" x14ac:dyDescent="0.25">
      <c r="C29" s="222">
        <v>23</v>
      </c>
      <c r="D29" s="65" t="str">
        <f>IF(Questions!E29="Yes","", "INTAKE AIR TEMPERATURES: Purchasing servers accepting higher intake temperatures will help the overall efforts to save energy in data centers. Allowing higher intake air temperature results in energy savings in the data center cooling system. ")</f>
        <v xml:space="preserve">INTAKE AIR TEMPERATURES: Purchasing servers accepting higher intake temperatures will help the overall efforts to save energy in data centers. Allowing higher intake air temperature results in energy savings in the data center cooling system. </v>
      </c>
    </row>
    <row r="30" spans="3:4" ht="66.75" customHeight="1" thickBot="1" x14ac:dyDescent="0.3">
      <c r="C30" s="223">
        <v>24</v>
      </c>
      <c r="D30" s="66" t="str">
        <f>IF(Questions!E30="Yes","", "SERVER AUDITS: Server audits identify non-active servers and help establish an action plan for effective server management, including equipment decommissioning and consolidation efforts.")</f>
        <v>SERVER AUDITS: Server audits identify non-active servers and help establish an action plan for effective server management, including equipment decommissioning and consolidation efforts.</v>
      </c>
    </row>
    <row r="31" spans="3:4" ht="15.75" thickTop="1" x14ac:dyDescent="0.25">
      <c r="C31" s="219"/>
      <c r="D31" s="219"/>
    </row>
  </sheetData>
  <sheetProtection algorithmName="SHA-512" hashValue="uAxiVsZGs26PIUwbXNc61hZMWtppHM45XjnlEKoJg5BWv8/rMsK0sJUOcyI0eHW1GyuQ72/5PVw+L6iH7VaKDg==" saltValue="j3GppI80HuMn6e4mUgMHxg=="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Overview</vt:lpstr>
      <vt:lpstr>Inventory</vt:lpstr>
      <vt:lpstr>Class 1</vt:lpstr>
      <vt:lpstr>Class 2</vt:lpstr>
      <vt:lpstr>Class 3</vt:lpstr>
      <vt:lpstr>Class 4</vt:lpstr>
      <vt:lpstr>Questions</vt:lpstr>
      <vt:lpstr>Num Results</vt:lpstr>
      <vt:lpstr>Recommendations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mherr</dc:creator>
  <cp:lastModifiedBy>Magnus Herrlin</cp:lastModifiedBy>
  <cp:lastPrinted>2020-09-24T18:03:52Z</cp:lastPrinted>
  <dcterms:created xsi:type="dcterms:W3CDTF">2020-02-21T21:27:37Z</dcterms:created>
  <dcterms:modified xsi:type="dcterms:W3CDTF">2023-10-11T20:58:52Z</dcterms:modified>
</cp:coreProperties>
</file>